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Q:\CED\LandDev\STORM WATER QUALITY\BMP Design Manual\County BMP Design Manual\"/>
    </mc:Choice>
  </mc:AlternateContent>
  <xr:revisionPtr revIDLastSave="0" documentId="8_{3F98E0D3-AD9C-41DF-B703-F383C44E3E84}" xr6:coauthVersionLast="44" xr6:coauthVersionMax="44" xr10:uidLastSave="{00000000-0000-0000-0000-000000000000}"/>
  <bookViews>
    <workbookView xWindow="4210" yWindow="1750" windowWidth="14400" windowHeight="7360" tabRatio="954" activeTab="3" xr2:uid="{00000000-000D-0000-FFFF-FFFF00000000}"/>
  </bookViews>
  <sheets>
    <sheet name="Introduction" sheetId="67" r:id="rId1"/>
    <sheet name="Step 1. DCV" sheetId="64" r:id="rId2"/>
    <sheet name="Step 2. Dispersion Areas" sheetId="16" r:id="rId3"/>
    <sheet name="Step 3. Tree Wells" sheetId="85" r:id="rId4"/>
    <sheet name="Ref_DCV" sheetId="63" state="hidden" r:id="rId5"/>
    <sheet name="Ref_Tree_Wells" sheetId="89" state="hidden" r:id="rId6"/>
    <sheet name="Ref_Dispersion" sheetId="90" state="hidden" r:id="rId7"/>
  </sheets>
  <definedNames>
    <definedName name="_xlnm.Print_Area" localSheetId="0">Introduction!$B$1:$T$23</definedName>
    <definedName name="_xlnm.Print_Area" localSheetId="1">'Step 1. DCV'!$B$1:$O$43</definedName>
    <definedName name="_xlnm.Print_Area" localSheetId="2">'Step 2. Dispersion Areas'!$B$1:$O$29</definedName>
    <definedName name="_xlnm.Print_Area" localSheetId="3">'Step 3. Tree Wells'!$B$1:$O$39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0" i="64" l="1"/>
  <c r="S45" i="64" l="1"/>
  <c r="S44" i="64"/>
  <c r="S43" i="64"/>
  <c r="AB13" i="64"/>
  <c r="AA13" i="64"/>
  <c r="Z13" i="64"/>
  <c r="Y13" i="64"/>
  <c r="X13" i="64"/>
  <c r="W13" i="64"/>
  <c r="V13" i="64"/>
  <c r="U13" i="64"/>
  <c r="T13" i="64"/>
  <c r="S13" i="64"/>
  <c r="B41" i="64" l="1"/>
  <c r="N35" i="64"/>
  <c r="M35" i="64"/>
  <c r="L35" i="64"/>
  <c r="K35" i="64"/>
  <c r="J35" i="64"/>
  <c r="I35" i="64"/>
  <c r="H35" i="64"/>
  <c r="G35" i="64"/>
  <c r="F35" i="64"/>
  <c r="N30" i="64" l="1"/>
  <c r="M30" i="64"/>
  <c r="L30" i="64"/>
  <c r="K30" i="64"/>
  <c r="J30" i="64"/>
  <c r="I30" i="64"/>
  <c r="H30" i="64"/>
  <c r="G30" i="64"/>
  <c r="F30" i="64"/>
  <c r="N29" i="64"/>
  <c r="N3" i="16" s="1"/>
  <c r="N14" i="16" s="1"/>
  <c r="M29" i="64"/>
  <c r="L29" i="64"/>
  <c r="L3" i="16" s="1"/>
  <c r="L14" i="16" s="1"/>
  <c r="K29" i="64"/>
  <c r="K3" i="16" s="1"/>
  <c r="K14" i="16" s="1"/>
  <c r="J29" i="64"/>
  <c r="J3" i="16" s="1"/>
  <c r="J14" i="16" s="1"/>
  <c r="I29" i="64"/>
  <c r="I3" i="16" s="1"/>
  <c r="I14" i="16" s="1"/>
  <c r="H29" i="64"/>
  <c r="H3" i="16" s="1"/>
  <c r="H14" i="16" s="1"/>
  <c r="G29" i="64"/>
  <c r="G3" i="16" s="1"/>
  <c r="G14" i="16" s="1"/>
  <c r="F29" i="64"/>
  <c r="F3" i="16" s="1"/>
  <c r="N26" i="64"/>
  <c r="M26" i="64"/>
  <c r="L26" i="64"/>
  <c r="K26" i="64"/>
  <c r="J26" i="64"/>
  <c r="I26" i="64"/>
  <c r="H26" i="64"/>
  <c r="G26" i="64"/>
  <c r="F26" i="64"/>
  <c r="N25" i="64"/>
  <c r="M25" i="64"/>
  <c r="L25" i="64"/>
  <c r="K25" i="64"/>
  <c r="J25" i="64"/>
  <c r="I25" i="64"/>
  <c r="H25" i="64"/>
  <c r="G25" i="64"/>
  <c r="F25" i="64"/>
  <c r="N24" i="64"/>
  <c r="M24" i="64"/>
  <c r="L24" i="64"/>
  <c r="K24" i="64"/>
  <c r="J24" i="64"/>
  <c r="I24" i="64"/>
  <c r="H24" i="64"/>
  <c r="G24" i="64"/>
  <c r="F24" i="64"/>
  <c r="M31" i="64" l="1"/>
  <c r="M32" i="64" s="1"/>
  <c r="I13" i="16"/>
  <c r="L13" i="16"/>
  <c r="G13" i="16"/>
  <c r="H13" i="16"/>
  <c r="J13" i="16"/>
  <c r="K13" i="16"/>
  <c r="N13" i="16"/>
  <c r="M3" i="16"/>
  <c r="M14" i="16" s="1"/>
  <c r="N7" i="16"/>
  <c r="N5" i="16"/>
  <c r="N6" i="16"/>
  <c r="N8" i="16" s="1"/>
  <c r="F6" i="16"/>
  <c r="F5" i="16"/>
  <c r="F7" i="16"/>
  <c r="G5" i="16"/>
  <c r="G7" i="16"/>
  <c r="G6" i="16"/>
  <c r="H7" i="16"/>
  <c r="H5" i="16"/>
  <c r="H6" i="16"/>
  <c r="J5" i="16"/>
  <c r="J6" i="16"/>
  <c r="J7" i="16"/>
  <c r="I5" i="16"/>
  <c r="I6" i="16"/>
  <c r="I7" i="16"/>
  <c r="K6" i="16"/>
  <c r="K5" i="16"/>
  <c r="K7" i="16"/>
  <c r="N31" i="64"/>
  <c r="N32" i="64" s="1"/>
  <c r="N33" i="64" s="1"/>
  <c r="N34" i="64" s="1"/>
  <c r="L6" i="16"/>
  <c r="L5" i="16"/>
  <c r="L7" i="16"/>
  <c r="L31" i="64"/>
  <c r="L32" i="64" s="1"/>
  <c r="L33" i="64" s="1"/>
  <c r="L34" i="64" s="1"/>
  <c r="J31" i="64"/>
  <c r="J32" i="64" s="1"/>
  <c r="J33" i="64" s="1"/>
  <c r="I31" i="64"/>
  <c r="I32" i="64" s="1"/>
  <c r="I33" i="64" s="1"/>
  <c r="I34" i="64" s="1"/>
  <c r="F31" i="64"/>
  <c r="F32" i="64" s="1"/>
  <c r="F33" i="64" s="1"/>
  <c r="F34" i="64" s="1"/>
  <c r="K31" i="64"/>
  <c r="K32" i="64" s="1"/>
  <c r="K33" i="64" s="1"/>
  <c r="J27" i="64"/>
  <c r="J28" i="64" s="1"/>
  <c r="X22" i="64" s="1"/>
  <c r="I27" i="64"/>
  <c r="I28" i="64" s="1"/>
  <c r="W22" i="64" s="1"/>
  <c r="H27" i="64"/>
  <c r="H28" i="64" s="1"/>
  <c r="V22" i="64" s="1"/>
  <c r="K27" i="64"/>
  <c r="K28" i="64" s="1"/>
  <c r="Y22" i="64" s="1"/>
  <c r="G31" i="64"/>
  <c r="G32" i="64" s="1"/>
  <c r="G33" i="64" s="1"/>
  <c r="M33" i="64"/>
  <c r="M34" i="64" s="1"/>
  <c r="L27" i="64"/>
  <c r="L28" i="64" s="1"/>
  <c r="Z22" i="64" s="1"/>
  <c r="H31" i="64"/>
  <c r="H32" i="64" s="1"/>
  <c r="H33" i="64" s="1"/>
  <c r="M27" i="64"/>
  <c r="M28" i="64" s="1"/>
  <c r="AA22" i="64" s="1"/>
  <c r="F27" i="64"/>
  <c r="F28" i="64" s="1"/>
  <c r="T22" i="64" s="1"/>
  <c r="N27" i="64"/>
  <c r="N28" i="64" s="1"/>
  <c r="AB22" i="64" s="1"/>
  <c r="G27" i="64"/>
  <c r="G28" i="64" s="1"/>
  <c r="U22" i="64" s="1"/>
  <c r="M13" i="16" l="1"/>
  <c r="I8" i="16"/>
  <c r="W8" i="16" s="1"/>
  <c r="M7" i="16"/>
  <c r="M5" i="16"/>
  <c r="AA5" i="16" s="1"/>
  <c r="M6" i="16"/>
  <c r="AB8" i="16"/>
  <c r="F8" i="16"/>
  <c r="T8" i="16" s="1"/>
  <c r="L8" i="16"/>
  <c r="Z8" i="16" s="1"/>
  <c r="K8" i="16"/>
  <c r="Y8" i="16" s="1"/>
  <c r="J8" i="16"/>
  <c r="X8" i="16" s="1"/>
  <c r="H8" i="16"/>
  <c r="V8" i="16" s="1"/>
  <c r="G8" i="16"/>
  <c r="U8" i="16" s="1"/>
  <c r="AB5" i="16"/>
  <c r="Z5" i="16"/>
  <c r="Y5" i="16"/>
  <c r="X5" i="16"/>
  <c r="W5" i="16"/>
  <c r="V5" i="16"/>
  <c r="U5" i="16"/>
  <c r="T5" i="16"/>
  <c r="I38" i="64"/>
  <c r="I39" i="64" s="1"/>
  <c r="I3" i="85" s="1"/>
  <c r="M38" i="64"/>
  <c r="M39" i="64" s="1"/>
  <c r="N38" i="64"/>
  <c r="N39" i="64" s="1"/>
  <c r="H34" i="64"/>
  <c r="F38" i="64"/>
  <c r="F39" i="64" s="1"/>
  <c r="L36" i="64"/>
  <c r="L37" i="64" s="1"/>
  <c r="J34" i="64"/>
  <c r="N36" i="64"/>
  <c r="N37" i="64" s="1"/>
  <c r="M36" i="64"/>
  <c r="M37" i="64" s="1"/>
  <c r="F36" i="64"/>
  <c r="F37" i="64" s="1"/>
  <c r="L38" i="64"/>
  <c r="L39" i="64" s="1"/>
  <c r="K34" i="64"/>
  <c r="I36" i="64"/>
  <c r="I37" i="64" s="1"/>
  <c r="G34" i="64"/>
  <c r="I14" i="85" l="1"/>
  <c r="I12" i="85"/>
  <c r="W12" i="85" s="1"/>
  <c r="I16" i="85"/>
  <c r="I13" i="85"/>
  <c r="I5" i="85"/>
  <c r="W5" i="85" s="1"/>
  <c r="M8" i="16"/>
  <c r="AA8" i="16" s="1"/>
  <c r="J38" i="64"/>
  <c r="J39" i="64" s="1"/>
  <c r="J3" i="85" s="1"/>
  <c r="H38" i="64"/>
  <c r="H39" i="64" s="1"/>
  <c r="H3" i="85" s="1"/>
  <c r="G36" i="64"/>
  <c r="G37" i="64" s="1"/>
  <c r="K38" i="64"/>
  <c r="K39" i="64" s="1"/>
  <c r="K3" i="85" s="1"/>
  <c r="I4" i="16"/>
  <c r="L3" i="85"/>
  <c r="L4" i="16"/>
  <c r="N3" i="85"/>
  <c r="N4" i="16"/>
  <c r="J4" i="16"/>
  <c r="J36" i="64"/>
  <c r="J37" i="64" s="1"/>
  <c r="W10" i="85"/>
  <c r="I4" i="85"/>
  <c r="H36" i="64"/>
  <c r="H37" i="64" s="1"/>
  <c r="K36" i="64"/>
  <c r="K37" i="64" s="1"/>
  <c r="F3" i="85"/>
  <c r="F4" i="16"/>
  <c r="H4" i="16"/>
  <c r="M3" i="85"/>
  <c r="M4" i="16"/>
  <c r="G38" i="64"/>
  <c r="G39" i="64" s="1"/>
  <c r="M12" i="85" l="1"/>
  <c r="AA12" i="85" s="1"/>
  <c r="M16" i="85"/>
  <c r="M14" i="85"/>
  <c r="M13" i="85"/>
  <c r="H16" i="85"/>
  <c r="H14" i="85"/>
  <c r="H12" i="85"/>
  <c r="V12" i="85" s="1"/>
  <c r="H13" i="85"/>
  <c r="N16" i="85"/>
  <c r="N12" i="85"/>
  <c r="N14" i="85"/>
  <c r="N13" i="85"/>
  <c r="L16" i="85"/>
  <c r="L14" i="85"/>
  <c r="L12" i="85"/>
  <c r="Z12" i="85" s="1"/>
  <c r="L13" i="85"/>
  <c r="J16" i="85"/>
  <c r="J14" i="85"/>
  <c r="J12" i="85"/>
  <c r="X12" i="85" s="1"/>
  <c r="J13" i="85"/>
  <c r="K16" i="85"/>
  <c r="K14" i="85"/>
  <c r="K12" i="85"/>
  <c r="Y12" i="85" s="1"/>
  <c r="K13" i="85"/>
  <c r="F14" i="16"/>
  <c r="T14" i="16" s="1"/>
  <c r="F13" i="16"/>
  <c r="F16" i="85"/>
  <c r="F14" i="85"/>
  <c r="F12" i="85"/>
  <c r="T12" i="85" s="1"/>
  <c r="F13" i="85"/>
  <c r="I17" i="85"/>
  <c r="I18" i="85" s="1"/>
  <c r="N5" i="85"/>
  <c r="AB5" i="85" s="1"/>
  <c r="M5" i="85"/>
  <c r="AA5" i="85" s="1"/>
  <c r="L5" i="85"/>
  <c r="Z5" i="85" s="1"/>
  <c r="K5" i="85"/>
  <c r="Y5" i="85" s="1"/>
  <c r="J5" i="85"/>
  <c r="X5" i="85" s="1"/>
  <c r="H5" i="85"/>
  <c r="V5" i="85" s="1"/>
  <c r="F5" i="85"/>
  <c r="T5" i="85" s="1"/>
  <c r="AB14" i="16"/>
  <c r="AA14" i="16"/>
  <c r="K4" i="16"/>
  <c r="Y14" i="16" s="1"/>
  <c r="Z14" i="16"/>
  <c r="X14" i="16"/>
  <c r="W14" i="16"/>
  <c r="V14" i="16"/>
  <c r="W11" i="85"/>
  <c r="AB12" i="85"/>
  <c r="I24" i="85"/>
  <c r="AB10" i="85"/>
  <c r="AB11" i="85"/>
  <c r="Z11" i="85"/>
  <c r="Z10" i="85"/>
  <c r="AA10" i="85"/>
  <c r="AA11" i="85"/>
  <c r="Y10" i="85"/>
  <c r="Y11" i="85"/>
  <c r="X10" i="85"/>
  <c r="X11" i="85"/>
  <c r="I23" i="85"/>
  <c r="J4" i="85"/>
  <c r="G3" i="85"/>
  <c r="G4" i="16"/>
  <c r="T10" i="85"/>
  <c r="F4" i="85"/>
  <c r="I15" i="85"/>
  <c r="I20" i="85" s="1"/>
  <c r="N4" i="85"/>
  <c r="K4" i="85"/>
  <c r="M4" i="85"/>
  <c r="L4" i="85"/>
  <c r="V11" i="85"/>
  <c r="H4" i="85"/>
  <c r="G16" i="85" l="1"/>
  <c r="G14" i="85"/>
  <c r="G12" i="85"/>
  <c r="G13" i="85"/>
  <c r="M17" i="85"/>
  <c r="M18" i="85" s="1"/>
  <c r="K17" i="85"/>
  <c r="K18" i="85" s="1"/>
  <c r="J17" i="85"/>
  <c r="J18" i="85" s="1"/>
  <c r="I19" i="85"/>
  <c r="I27" i="85" s="1"/>
  <c r="W27" i="85" s="1"/>
  <c r="H17" i="85"/>
  <c r="H18" i="85" s="1"/>
  <c r="N17" i="85"/>
  <c r="N18" i="85" s="1"/>
  <c r="L17" i="85"/>
  <c r="L18" i="85" s="1"/>
  <c r="G5" i="85"/>
  <c r="U5" i="85" s="1"/>
  <c r="F17" i="85"/>
  <c r="F18" i="85" s="1"/>
  <c r="U14" i="16"/>
  <c r="V10" i="85"/>
  <c r="T11" i="85"/>
  <c r="I28" i="85"/>
  <c r="W28" i="85" s="1"/>
  <c r="U10" i="85"/>
  <c r="K24" i="85"/>
  <c r="H24" i="85"/>
  <c r="F24" i="85"/>
  <c r="L23" i="85"/>
  <c r="M24" i="85"/>
  <c r="N24" i="85"/>
  <c r="L24" i="85"/>
  <c r="K23" i="85"/>
  <c r="J15" i="85"/>
  <c r="J20" i="85" s="1"/>
  <c r="L15" i="85"/>
  <c r="L20" i="85" s="1"/>
  <c r="M23" i="85"/>
  <c r="F15" i="85"/>
  <c r="F20" i="85" s="1"/>
  <c r="J24" i="85"/>
  <c r="J23" i="85"/>
  <c r="U11" i="85"/>
  <c r="G4" i="85"/>
  <c r="U12" i="85"/>
  <c r="K15" i="85"/>
  <c r="K20" i="85" s="1"/>
  <c r="N15" i="85"/>
  <c r="N20" i="85" s="1"/>
  <c r="N23" i="85"/>
  <c r="F23" i="85"/>
  <c r="H23" i="85"/>
  <c r="H15" i="85"/>
  <c r="H20" i="85" s="1"/>
  <c r="M15" i="85"/>
  <c r="M20" i="85" s="1"/>
  <c r="M19" i="85" l="1"/>
  <c r="M25" i="85" s="1"/>
  <c r="K19" i="85"/>
  <c r="K25" i="85" s="1"/>
  <c r="I21" i="85"/>
  <c r="W21" i="85" s="1"/>
  <c r="I25" i="85"/>
  <c r="J19" i="85"/>
  <c r="J27" i="85" s="1"/>
  <c r="X27" i="85" s="1"/>
  <c r="I22" i="85"/>
  <c r="W22" i="85" s="1"/>
  <c r="H19" i="85"/>
  <c r="H27" i="85" s="1"/>
  <c r="V27" i="85" s="1"/>
  <c r="N19" i="85"/>
  <c r="N27" i="85" s="1"/>
  <c r="AB27" i="85" s="1"/>
  <c r="L19" i="85"/>
  <c r="G17" i="85"/>
  <c r="G18" i="85" s="1"/>
  <c r="F19" i="85"/>
  <c r="L27" i="85"/>
  <c r="Z27" i="85" s="1"/>
  <c r="L28" i="85"/>
  <c r="Z28" i="85" s="1"/>
  <c r="F28" i="85"/>
  <c r="T28" i="85" s="1"/>
  <c r="F27" i="85"/>
  <c r="T27" i="85" s="1"/>
  <c r="M27" i="85"/>
  <c r="AA27" i="85" s="1"/>
  <c r="M28" i="85"/>
  <c r="AA28" i="85" s="1"/>
  <c r="K28" i="85"/>
  <c r="Y28" i="85" s="1"/>
  <c r="G23" i="85"/>
  <c r="G24" i="85"/>
  <c r="G15" i="85"/>
  <c r="G20" i="85" s="1"/>
  <c r="K27" i="85" l="1"/>
  <c r="Y27" i="85" s="1"/>
  <c r="J28" i="85"/>
  <c r="X28" i="85" s="1"/>
  <c r="H28" i="85"/>
  <c r="V28" i="85" s="1"/>
  <c r="F22" i="85"/>
  <c r="T22" i="85" s="1"/>
  <c r="F25" i="85"/>
  <c r="N28" i="85"/>
  <c r="AB28" i="85" s="1"/>
  <c r="M22" i="85"/>
  <c r="AA22" i="85" s="1"/>
  <c r="M21" i="85"/>
  <c r="AA21" i="85" s="1"/>
  <c r="K21" i="85"/>
  <c r="Y21" i="85" s="1"/>
  <c r="K22" i="85"/>
  <c r="Y22" i="85" s="1"/>
  <c r="N22" i="85"/>
  <c r="AB22" i="85" s="1"/>
  <c r="N25" i="85"/>
  <c r="L22" i="85"/>
  <c r="Z22" i="85" s="1"/>
  <c r="L25" i="85"/>
  <c r="J21" i="85"/>
  <c r="X21" i="85" s="1"/>
  <c r="J25" i="85"/>
  <c r="H21" i="85"/>
  <c r="V21" i="85" s="1"/>
  <c r="H25" i="85"/>
  <c r="J22" i="85"/>
  <c r="X22" i="85" s="1"/>
  <c r="H22" i="85"/>
  <c r="V22" i="85" s="1"/>
  <c r="N21" i="85"/>
  <c r="AB21" i="85" s="1"/>
  <c r="L21" i="85"/>
  <c r="Z21" i="85" s="1"/>
  <c r="G19" i="85"/>
  <c r="F21" i="85"/>
  <c r="T21" i="85" s="1"/>
  <c r="G27" i="85"/>
  <c r="U27" i="85" s="1"/>
  <c r="G28" i="85"/>
  <c r="U28" i="85" s="1"/>
  <c r="G21" i="85" l="1"/>
  <c r="U21" i="85" s="1"/>
  <c r="G25" i="85"/>
  <c r="G22" i="85"/>
  <c r="U22" i="85" s="1"/>
  <c r="X23" i="85"/>
  <c r="AB6" i="85"/>
  <c r="AA6" i="85"/>
  <c r="Z6" i="85"/>
  <c r="Y6" i="85"/>
  <c r="X6" i="85"/>
  <c r="W6" i="85"/>
  <c r="V6" i="85"/>
  <c r="U6" i="85"/>
  <c r="T6" i="85"/>
  <c r="Y23" i="85" l="1"/>
  <c r="T23" i="85"/>
  <c r="U23" i="85"/>
  <c r="AB23" i="85"/>
  <c r="W23" i="85"/>
  <c r="V23" i="85"/>
  <c r="Z23" i="85"/>
  <c r="AA23" i="85" l="1"/>
  <c r="S10" i="16"/>
  <c r="AB11" i="16" l="1"/>
  <c r="N15" i="16" s="1"/>
  <c r="AB15" i="16" s="1"/>
  <c r="AA11" i="16"/>
  <c r="M15" i="16" s="1"/>
  <c r="AA15" i="16" s="1"/>
  <c r="Z11" i="16"/>
  <c r="L15" i="16" s="1"/>
  <c r="Y11" i="16"/>
  <c r="K15" i="16" s="1"/>
  <c r="X11" i="16"/>
  <c r="J15" i="16" s="1"/>
  <c r="W11" i="16"/>
  <c r="I15" i="16" s="1"/>
  <c r="V11" i="16"/>
  <c r="H15" i="16" s="1"/>
  <c r="U11" i="16"/>
  <c r="G15" i="16" s="1"/>
  <c r="T11" i="16"/>
  <c r="AB10" i="16" l="1"/>
  <c r="AA10" i="16"/>
  <c r="Z10" i="16"/>
  <c r="Y10" i="16"/>
  <c r="X10" i="16"/>
  <c r="W10" i="16"/>
  <c r="V10" i="16"/>
  <c r="U10" i="16"/>
  <c r="T10" i="16"/>
  <c r="B21" i="16" s="1"/>
  <c r="S9" i="16" l="1"/>
  <c r="AB9" i="16"/>
  <c r="AA9" i="16"/>
  <c r="Z9" i="16"/>
  <c r="Z15" i="16" s="1"/>
  <c r="Y9" i="16"/>
  <c r="Y15" i="16" s="1"/>
  <c r="X9" i="16"/>
  <c r="W9" i="16"/>
  <c r="W15" i="16" s="1"/>
  <c r="V9" i="16"/>
  <c r="V15" i="16" s="1"/>
  <c r="U9" i="16"/>
  <c r="U15" i="16" s="1"/>
  <c r="T9" i="16"/>
  <c r="F15" i="16" l="1"/>
  <c r="T15" i="16" s="1"/>
  <c r="B20" i="16"/>
  <c r="X15" i="16"/>
  <c r="T23" i="64"/>
  <c r="U23" i="64"/>
  <c r="V23" i="64"/>
  <c r="W23" i="64"/>
  <c r="X23" i="64"/>
  <c r="Y23" i="64"/>
  <c r="Z23" i="64"/>
  <c r="AA23" i="64"/>
  <c r="AB23" i="64"/>
  <c r="S23" i="64"/>
  <c r="B42" i="64" l="1"/>
  <c r="E25" i="64"/>
  <c r="E24" i="64"/>
  <c r="E26" i="64"/>
  <c r="E29" i="64"/>
  <c r="E3" i="16" l="1"/>
  <c r="E27" i="64"/>
  <c r="E28" i="64" s="1"/>
  <c r="E35" i="64" l="1"/>
  <c r="S22" i="64"/>
  <c r="B43" i="64" s="1"/>
  <c r="E6" i="16"/>
  <c r="E7" i="16"/>
  <c r="E8" i="16" s="1"/>
  <c r="E5" i="16"/>
  <c r="S5" i="16" l="1"/>
  <c r="B18" i="16" s="1"/>
  <c r="S8" i="16"/>
  <c r="B19" i="16" s="1"/>
  <c r="S11" i="16"/>
  <c r="B22" i="16" s="1"/>
  <c r="T35" i="64"/>
  <c r="U35" i="64"/>
  <c r="V35" i="64"/>
  <c r="W35" i="64"/>
  <c r="X35" i="64"/>
  <c r="Y35" i="64"/>
  <c r="Z35" i="64"/>
  <c r="AA35" i="64"/>
  <c r="AB35" i="64"/>
  <c r="E15" i="16" l="1"/>
  <c r="F87" i="63"/>
  <c r="E87" i="63"/>
  <c r="D87" i="63"/>
  <c r="C87" i="63"/>
  <c r="B87" i="63"/>
  <c r="F86" i="63"/>
  <c r="E86" i="63"/>
  <c r="D86" i="63"/>
  <c r="C86" i="63"/>
  <c r="F85" i="63"/>
  <c r="E85" i="63"/>
  <c r="D85" i="63"/>
  <c r="C85" i="63"/>
  <c r="F84" i="63"/>
  <c r="E84" i="63"/>
  <c r="D84" i="63"/>
  <c r="C84" i="63"/>
  <c r="F83" i="63"/>
  <c r="E83" i="63"/>
  <c r="D83" i="63"/>
  <c r="C83" i="63"/>
  <c r="F82" i="63"/>
  <c r="E82" i="63"/>
  <c r="D82" i="63"/>
  <c r="C82" i="63"/>
  <c r="F81" i="63"/>
  <c r="E81" i="63"/>
  <c r="D81" i="63"/>
  <c r="C81" i="63"/>
  <c r="F80" i="63"/>
  <c r="E80" i="63"/>
  <c r="D80" i="63"/>
  <c r="C80" i="63"/>
  <c r="F79" i="63"/>
  <c r="E79" i="63"/>
  <c r="D79" i="63"/>
  <c r="C79" i="63"/>
  <c r="F78" i="63"/>
  <c r="E78" i="63"/>
  <c r="D78" i="63"/>
  <c r="C78" i="63"/>
  <c r="F77" i="63"/>
  <c r="E77" i="63"/>
  <c r="D77" i="63"/>
  <c r="C77" i="63"/>
  <c r="B77" i="63"/>
  <c r="F76" i="63"/>
  <c r="E76" i="63"/>
  <c r="D76" i="63"/>
  <c r="C76" i="63"/>
  <c r="F75" i="63"/>
  <c r="E75" i="63"/>
  <c r="D75" i="63"/>
  <c r="C75" i="63"/>
  <c r="F74" i="63"/>
  <c r="E74" i="63"/>
  <c r="D74" i="63"/>
  <c r="C74" i="63"/>
  <c r="F73" i="63"/>
  <c r="E73" i="63"/>
  <c r="D73" i="63"/>
  <c r="C73" i="63"/>
  <c r="F72" i="63"/>
  <c r="E72" i="63"/>
  <c r="D72" i="63"/>
  <c r="C72" i="63"/>
  <c r="F71" i="63"/>
  <c r="E71" i="63"/>
  <c r="D71" i="63"/>
  <c r="C71" i="63"/>
  <c r="F70" i="63"/>
  <c r="E70" i="63"/>
  <c r="D70" i="63"/>
  <c r="C70" i="63"/>
  <c r="F69" i="63"/>
  <c r="E69" i="63"/>
  <c r="D69" i="63"/>
  <c r="C69" i="63"/>
  <c r="F68" i="63"/>
  <c r="E68" i="63"/>
  <c r="D68" i="63"/>
  <c r="C68" i="63"/>
  <c r="F67" i="63"/>
  <c r="E67" i="63"/>
  <c r="D67" i="63"/>
  <c r="C67" i="63"/>
  <c r="B67" i="63"/>
  <c r="F66" i="63"/>
  <c r="E66" i="63"/>
  <c r="D66" i="63"/>
  <c r="C66" i="63"/>
  <c r="F65" i="63"/>
  <c r="E65" i="63"/>
  <c r="D65" i="63"/>
  <c r="C65" i="63"/>
  <c r="F64" i="63"/>
  <c r="E64" i="63"/>
  <c r="D64" i="63"/>
  <c r="C64" i="63"/>
  <c r="F63" i="63"/>
  <c r="E63" i="63"/>
  <c r="D63" i="63"/>
  <c r="C63" i="63"/>
  <c r="F62" i="63"/>
  <c r="E62" i="63"/>
  <c r="D62" i="63"/>
  <c r="C62" i="63"/>
  <c r="F61" i="63"/>
  <c r="E61" i="63"/>
  <c r="D61" i="63"/>
  <c r="C61" i="63"/>
  <c r="F60" i="63"/>
  <c r="E60" i="63"/>
  <c r="D60" i="63"/>
  <c r="C60" i="63"/>
  <c r="F59" i="63"/>
  <c r="E59" i="63"/>
  <c r="D59" i="63"/>
  <c r="C59" i="63"/>
  <c r="F58" i="63"/>
  <c r="E58" i="63"/>
  <c r="D58" i="63"/>
  <c r="C58" i="63"/>
  <c r="F57" i="63"/>
  <c r="E57" i="63"/>
  <c r="D57" i="63"/>
  <c r="C57" i="63"/>
  <c r="B57" i="63"/>
  <c r="E49" i="63"/>
  <c r="E50" i="63" s="1"/>
  <c r="E51" i="63" s="1"/>
  <c r="E52" i="63" s="1"/>
  <c r="E53" i="63" s="1"/>
  <c r="E54" i="63" s="1"/>
  <c r="E55" i="63" s="1"/>
  <c r="E56" i="63" s="1"/>
  <c r="F47" i="63"/>
  <c r="F48" i="63" s="1"/>
  <c r="F49" i="63" s="1"/>
  <c r="F50" i="63" s="1"/>
  <c r="F51" i="63" s="1"/>
  <c r="F52" i="63" s="1"/>
  <c r="F53" i="63" s="1"/>
  <c r="F54" i="63" s="1"/>
  <c r="F55" i="63" s="1"/>
  <c r="F56" i="63" s="1"/>
  <c r="E47" i="63"/>
  <c r="E48" i="63" s="1"/>
  <c r="D47" i="63"/>
  <c r="D48" i="63" s="1"/>
  <c r="D49" i="63" s="1"/>
  <c r="D50" i="63" s="1"/>
  <c r="D51" i="63" s="1"/>
  <c r="D52" i="63" s="1"/>
  <c r="D53" i="63" s="1"/>
  <c r="D54" i="63" s="1"/>
  <c r="D55" i="63" s="1"/>
  <c r="D56" i="63" s="1"/>
  <c r="C47" i="63"/>
  <c r="C48" i="63" s="1"/>
  <c r="C49" i="63" s="1"/>
  <c r="C50" i="63" s="1"/>
  <c r="C51" i="63" s="1"/>
  <c r="C52" i="63" s="1"/>
  <c r="C53" i="63" s="1"/>
  <c r="C54" i="63" s="1"/>
  <c r="C55" i="63" s="1"/>
  <c r="C56" i="63" s="1"/>
  <c r="C33" i="63"/>
  <c r="C32" i="63"/>
  <c r="C31" i="63"/>
  <c r="C30" i="63"/>
  <c r="C28" i="63"/>
  <c r="C27" i="63"/>
  <c r="C26" i="63"/>
  <c r="C25" i="63"/>
  <c r="C23" i="63"/>
  <c r="C22" i="63"/>
  <c r="C21" i="63"/>
  <c r="C20" i="63"/>
  <c r="C18" i="63"/>
  <c r="C17" i="63"/>
  <c r="C16" i="63"/>
  <c r="C15" i="63"/>
  <c r="C13" i="63"/>
  <c r="C12" i="63"/>
  <c r="C11" i="63"/>
  <c r="C10" i="63"/>
  <c r="C8" i="63"/>
  <c r="C7" i="63"/>
  <c r="C6" i="63"/>
  <c r="C5" i="63"/>
  <c r="S15" i="16" l="1"/>
  <c r="E31" i="64"/>
  <c r="E32" i="64" l="1"/>
  <c r="E33" i="64" s="1"/>
  <c r="E34" i="64" s="1"/>
  <c r="S35" i="64" l="1"/>
  <c r="E36" i="64" l="1"/>
  <c r="E37" i="64" s="1"/>
  <c r="E38" i="64"/>
  <c r="E39" i="64" s="1"/>
  <c r="B40" i="64"/>
  <c r="E3" i="85" l="1"/>
  <c r="E13" i="85" s="1"/>
  <c r="E4" i="16"/>
  <c r="E14" i="16" s="1"/>
  <c r="V24" i="85"/>
  <c r="W24" i="85"/>
  <c r="I26" i="85" s="1"/>
  <c r="W26" i="85" s="1"/>
  <c r="T24" i="85"/>
  <c r="F26" i="85" s="1"/>
  <c r="T26" i="85" s="1"/>
  <c r="X24" i="85"/>
  <c r="J26" i="85" s="1"/>
  <c r="X26" i="85" s="1"/>
  <c r="W17" i="85"/>
  <c r="W4" i="16"/>
  <c r="V17" i="85"/>
  <c r="V4" i="16"/>
  <c r="T17" i="85"/>
  <c r="T4" i="16"/>
  <c r="X4" i="16"/>
  <c r="E13" i="16" l="1"/>
  <c r="S14" i="16"/>
  <c r="E12" i="85"/>
  <c r="S12" i="85" s="1"/>
  <c r="B32" i="85" s="1"/>
  <c r="E16" i="85"/>
  <c r="E14" i="85"/>
  <c r="S10" i="85" s="1"/>
  <c r="E4" i="85"/>
  <c r="E5" i="85"/>
  <c r="S5" i="85" s="1"/>
  <c r="B30" i="85" s="1"/>
  <c r="H26" i="85"/>
  <c r="V26" i="85" s="1"/>
  <c r="Z24" i="85"/>
  <c r="L26" i="85" s="1"/>
  <c r="Z26" i="85" s="1"/>
  <c r="AB24" i="85"/>
  <c r="N26" i="85" s="1"/>
  <c r="AB26" i="85" s="1"/>
  <c r="AA24" i="85"/>
  <c r="M26" i="85" s="1"/>
  <c r="AA26" i="85" s="1"/>
  <c r="Y24" i="85"/>
  <c r="S4" i="16"/>
  <c r="AA4" i="16"/>
  <c r="Z4" i="16"/>
  <c r="Y4" i="16"/>
  <c r="AB17" i="85"/>
  <c r="S11" i="85" l="1"/>
  <c r="B33" i="85" s="1"/>
  <c r="E23" i="85"/>
  <c r="E24" i="85"/>
  <c r="E15" i="85"/>
  <c r="E20" i="85" s="1"/>
  <c r="S6" i="85"/>
  <c r="E17" i="85"/>
  <c r="E18" i="85" s="1"/>
  <c r="E19" i="85" s="1"/>
  <c r="E25" i="85" s="1"/>
  <c r="K26" i="85"/>
  <c r="Y26" i="85" s="1"/>
  <c r="Z17" i="85"/>
  <c r="AB4" i="16"/>
  <c r="AA17" i="85"/>
  <c r="E22" i="85" l="1"/>
  <c r="S22" i="85" s="1"/>
  <c r="S23" i="85"/>
  <c r="B34" i="85" s="1"/>
  <c r="E21" i="85"/>
  <c r="S21" i="85" s="1"/>
  <c r="S17" i="85"/>
  <c r="S24" i="85"/>
  <c r="E27" i="85"/>
  <c r="S27" i="85" s="1"/>
  <c r="E28" i="85"/>
  <c r="S28" i="85" s="1"/>
  <c r="Y17" i="85"/>
  <c r="E26" i="85" l="1"/>
  <c r="S26" i="85" s="1"/>
  <c r="X17" i="85" l="1"/>
  <c r="U24" i="85" l="1"/>
  <c r="B35" i="85" s="1"/>
  <c r="U17" i="85"/>
  <c r="B31" i="85" s="1"/>
  <c r="U4" i="16"/>
  <c r="B17" i="16" s="1"/>
  <c r="B29" i="85" l="1"/>
  <c r="B16" i="16"/>
  <c r="G26" i="85"/>
  <c r="U26" i="8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 Packard Enterprise</author>
    <author>LJH</author>
    <author>CMohrlock</author>
  </authors>
  <commentList>
    <comment ref="D6" authorId="0" shapeId="0" xr:uid="{00000000-0006-0000-0100-000001000000}">
      <text>
        <r>
          <rPr>
            <sz val="9"/>
            <color indexed="81"/>
            <rFont val="Tahoma"/>
            <family val="2"/>
          </rPr>
          <t>Impervious surfaces include roofs, concrete, asphalt, or pervious pavements with an impervious liner.</t>
        </r>
      </text>
    </comment>
    <comment ref="D7" authorId="0" shapeId="0" xr:uid="{00000000-0006-0000-0100-000002000000}">
      <text>
        <r>
          <rPr>
            <sz val="9"/>
            <color indexed="81"/>
            <rFont val="Tahoma"/>
            <family val="2"/>
          </rPr>
          <t>Semi-pervious surfaces include decomposed granite, cobbles, crushed aggregate, or compacted soils such as unpaved parking.</t>
        </r>
      </text>
    </comment>
    <comment ref="D8" authorId="0" shapeId="0" xr:uid="{00000000-0006-0000-0100-000003000000}">
      <text>
        <r>
          <rPr>
            <sz val="9"/>
            <color indexed="81"/>
            <rFont val="Tahoma"/>
            <family val="2"/>
          </rPr>
          <t xml:space="preserve">Engineered pervious surfaces include pervious pavements providing full retention of the 85th percentile rainfall depth, or areas with soils that have been amended and mulched per Fact Sheet SD-F, Amended Soil. </t>
        </r>
      </text>
    </comment>
    <comment ref="D13" authorId="1" shapeId="0" xr:uid="{BC9915CA-B172-40AC-92CD-605FC40F5F25}">
      <text>
        <r>
          <rPr>
            <sz val="9"/>
            <color indexed="81"/>
            <rFont val="Tahoma"/>
            <family val="2"/>
          </rPr>
          <t>Dispersion areas are pervious or semi-pervious surfaces that receive runoff from impervious surfaces (C=0.90) and reduce stormwater runoff as outlined in Fact Sheet SD-B.</t>
        </r>
      </text>
    </comment>
    <comment ref="D16" authorId="0" shapeId="0" xr:uid="{00000000-0006-0000-0100-000004000000}">
      <text>
        <r>
          <rPr>
            <sz val="9"/>
            <color indexed="81"/>
            <rFont val="Tahoma"/>
            <family val="2"/>
          </rPr>
          <t>Semi-pervious surfaces (C=0.30) that receive runoff from impervious surfaces (C=0.90) may be used as a regular site design element to reduce the final DCV when used as outlined in Fact Sheet SD-B, but may not be used as a significant site design element to fully satisfy DCV or hydromodification management.</t>
        </r>
      </text>
    </comment>
    <comment ref="D17" authorId="1" shapeId="0" xr:uid="{5097F66F-8613-4C5C-AFD8-954028EDFA25}">
      <text>
        <r>
          <rPr>
            <sz val="9"/>
            <color indexed="81"/>
            <rFont val="Tahoma"/>
            <family val="2"/>
          </rPr>
          <t xml:space="preserve">Engineered pervious surfaces include pervious pavements providing full retention of the 85th percentile rainfall depth, or areas with soils that have been amended and mulched per Fact Sheet SD-F, Amended Soil. </t>
        </r>
      </text>
    </comment>
    <comment ref="D31" authorId="2" shapeId="0" xr:uid="{00000000-0006-0000-0100-000005000000}">
      <text>
        <r>
          <rPr>
            <sz val="9"/>
            <color indexed="81"/>
            <rFont val="Tahoma"/>
            <family val="2"/>
          </rPr>
          <t>This worksheet permits a maximum impervious to pervious dispersion ratio of 4.0. Values of greater than 4.0 in this row will result in no adjustments to the runoff factor.</t>
        </r>
        <r>
          <rPr>
            <sz val="9"/>
            <color indexed="81"/>
            <rFont val="Tahoma"/>
            <family val="2"/>
          </rPr>
          <t xml:space="preserve">
</t>
        </r>
      </text>
    </comment>
  </commentList>
</comments>
</file>

<file path=xl/sharedStrings.xml><?xml version="1.0" encoding="utf-8"?>
<sst xmlns="http://schemas.openxmlformats.org/spreadsheetml/2006/main" count="479" uniqueCount="330">
  <si>
    <t>Description</t>
  </si>
  <si>
    <t>Units</t>
  </si>
  <si>
    <t>cubic-feet</t>
  </si>
  <si>
    <t>inches</t>
  </si>
  <si>
    <t>sq-ft</t>
  </si>
  <si>
    <t>#</t>
  </si>
  <si>
    <t>Yes</t>
  </si>
  <si>
    <t>Category</t>
  </si>
  <si>
    <t>Design Capture Volume Tributary to BMP</t>
  </si>
  <si>
    <t>ratio</t>
  </si>
  <si>
    <t>n/a</t>
  </si>
  <si>
    <t>85th Percentile 24-hr Storm Depth</t>
  </si>
  <si>
    <t>unitless</t>
  </si>
  <si>
    <t>Average Rain Barrel Size</t>
  </si>
  <si>
    <t>gal</t>
  </si>
  <si>
    <t>yes/no</t>
  </si>
  <si>
    <t>Initial Design Capture Volume</t>
  </si>
  <si>
    <t>No</t>
  </si>
  <si>
    <t>Total Tributary Area</t>
  </si>
  <si>
    <t>Mature Tree Canopy Diameter (ft)</t>
  </si>
  <si>
    <t>Tree Credit Volume (ft3/tree)</t>
  </si>
  <si>
    <t>A1. Interpolated Tree Volume Reduction Values</t>
  </si>
  <si>
    <t>A2. Original BMPDM Tree Volume Reduction Values</t>
  </si>
  <si>
    <t>Ratio</t>
  </si>
  <si>
    <t>Total Impervious Area Dispersed to Pervious Surface</t>
  </si>
  <si>
    <t>Total Pervious Dispersion Area</t>
  </si>
  <si>
    <t>Final Adjusted Runoff Factor</t>
  </si>
  <si>
    <t>D2. Interpolated Impervious Area Adjustment Factors</t>
  </si>
  <si>
    <t>Conditional Formatting</t>
  </si>
  <si>
    <t>Reference Only Info</t>
  </si>
  <si>
    <t>i</t>
  </si>
  <si>
    <t>ii</t>
  </si>
  <si>
    <t>iii</t>
  </si>
  <si>
    <t>iv</t>
  </si>
  <si>
    <t>v</t>
  </si>
  <si>
    <t>vi</t>
  </si>
  <si>
    <t>vii</t>
  </si>
  <si>
    <t>ix</t>
  </si>
  <si>
    <t>x</t>
  </si>
  <si>
    <r>
      <t xml:space="preserve">Natural Type D Soil </t>
    </r>
    <r>
      <rPr>
        <u/>
        <sz val="11"/>
        <rFont val="Garamond"/>
        <family val="1"/>
      </rPr>
      <t>Not Serving as Dispersion Area</t>
    </r>
    <r>
      <rPr>
        <sz val="11"/>
        <rFont val="Garamond"/>
        <family val="1"/>
      </rPr>
      <t xml:space="preserve"> (C=0.30)</t>
    </r>
  </si>
  <si>
    <r>
      <t xml:space="preserve">Natural Type C Soil </t>
    </r>
    <r>
      <rPr>
        <u/>
        <sz val="11"/>
        <rFont val="Garamond"/>
        <family val="1"/>
      </rPr>
      <t>Not Serving as Dispersion Area</t>
    </r>
    <r>
      <rPr>
        <sz val="11"/>
        <rFont val="Garamond"/>
        <family val="1"/>
      </rPr>
      <t xml:space="preserve"> (C=0.23)</t>
    </r>
  </si>
  <si>
    <r>
      <t xml:space="preserve">Natural Type B Soil </t>
    </r>
    <r>
      <rPr>
        <u/>
        <sz val="11"/>
        <rFont val="Garamond"/>
        <family val="1"/>
      </rPr>
      <t>Not Serving as Dispersion Area</t>
    </r>
    <r>
      <rPr>
        <sz val="11"/>
        <rFont val="Garamond"/>
        <family val="1"/>
      </rPr>
      <t xml:space="preserve"> (C=0.14)</t>
    </r>
  </si>
  <si>
    <r>
      <t xml:space="preserve">Natural Type A Soil </t>
    </r>
    <r>
      <rPr>
        <u/>
        <sz val="11"/>
        <rFont val="Garamond"/>
        <family val="1"/>
      </rPr>
      <t>Not Serving as Dispersion Area</t>
    </r>
    <r>
      <rPr>
        <sz val="11"/>
        <rFont val="Garamond"/>
        <family val="1"/>
      </rPr>
      <t xml:space="preserve">  (C=0.10)</t>
    </r>
  </si>
  <si>
    <r>
      <t xml:space="preserve">Semi-Pervious Surfaces </t>
    </r>
    <r>
      <rPr>
        <u/>
        <sz val="11"/>
        <rFont val="Garamond"/>
        <family val="1"/>
      </rPr>
      <t>Not Serving as Dispersion Area</t>
    </r>
    <r>
      <rPr>
        <sz val="11"/>
        <rFont val="Garamond"/>
        <family val="1"/>
      </rPr>
      <t xml:space="preserve"> (C=0.30)</t>
    </r>
  </si>
  <si>
    <t>A
(C=0.10)</t>
  </si>
  <si>
    <t>B
(C=0.14)</t>
  </si>
  <si>
    <t>C
(C=0.23)</t>
  </si>
  <si>
    <t>D
(C=0.30)</t>
  </si>
  <si>
    <t>INSTRUCTIONS:</t>
  </si>
  <si>
    <t>WELCOME:</t>
  </si>
  <si>
    <t>DISCLAIMER:</t>
  </si>
  <si>
    <t>Drainage Basin ID or Name</t>
  </si>
  <si>
    <t>Version</t>
  </si>
  <si>
    <t>Date</t>
  </si>
  <si>
    <t>1.0</t>
  </si>
  <si>
    <t>Notes/Updates</t>
  </si>
  <si>
    <t>Version Notes</t>
  </si>
  <si>
    <t>Other</t>
  </si>
  <si>
    <t>Total Rain Barrel Volume Reduction</t>
  </si>
  <si>
    <r>
      <t xml:space="preserve">Engineered Pervious Surfaces </t>
    </r>
    <r>
      <rPr>
        <u/>
        <sz val="11"/>
        <rFont val="Garamond"/>
        <family val="1"/>
      </rPr>
      <t>Not Serving as Dispersion Area</t>
    </r>
    <r>
      <rPr>
        <sz val="11"/>
        <rFont val="Garamond"/>
        <family val="1"/>
      </rPr>
      <t xml:space="preserve"> (C=0.10)</t>
    </r>
  </si>
  <si>
    <r>
      <t xml:space="preserve">Impervious Surfaces </t>
    </r>
    <r>
      <rPr>
        <u/>
        <sz val="11"/>
        <rFont val="Garamond"/>
        <family val="1"/>
      </rPr>
      <t>Not Directed to Dispersion Area</t>
    </r>
    <r>
      <rPr>
        <sz val="11"/>
        <rFont val="Garamond"/>
        <family val="1"/>
      </rPr>
      <t xml:space="preserve"> (C=0.90) </t>
    </r>
  </si>
  <si>
    <t>B1. Are Site Design Elements such as dispersion, tree wells, and/or rain barrels used?</t>
  </si>
  <si>
    <t>Standard Drainage Basin Inputs</t>
  </si>
  <si>
    <t>Final Effective Tributary Area</t>
  </si>
  <si>
    <t>Number of Rain Barrels Proposed per SD-E</t>
  </si>
  <si>
    <t>viii</t>
  </si>
  <si>
    <t>Ratio
imp/perv</t>
  </si>
  <si>
    <t>D1. Updated Impervious Area Adjustment Factors</t>
  </si>
  <si>
    <t>Adjustment Factor for Dispersed &amp; Dispersion Areas</t>
  </si>
  <si>
    <r>
      <t xml:space="preserve">Impervious Surfaces </t>
    </r>
    <r>
      <rPr>
        <b/>
        <sz val="11"/>
        <rFont val="Garamond"/>
        <family val="1"/>
      </rPr>
      <t>Directed to Dispersion Area</t>
    </r>
    <r>
      <rPr>
        <sz val="11"/>
        <rFont val="Garamond"/>
        <family val="1"/>
      </rPr>
      <t xml:space="preserve"> per SD-B (Ci=0.90) </t>
    </r>
  </si>
  <si>
    <r>
      <t xml:space="preserve">Semi-Pervious Surfaces </t>
    </r>
    <r>
      <rPr>
        <b/>
        <sz val="11"/>
        <rFont val="Garamond"/>
        <family val="1"/>
      </rPr>
      <t>Serving as Dispersion Area</t>
    </r>
    <r>
      <rPr>
        <sz val="11"/>
        <rFont val="Garamond"/>
        <family val="1"/>
      </rPr>
      <t xml:space="preserve"> per SD-B (Ci=0.30)</t>
    </r>
  </si>
  <si>
    <r>
      <t xml:space="preserve">Engineered Pervious Surfaces </t>
    </r>
    <r>
      <rPr>
        <b/>
        <sz val="11"/>
        <rFont val="Garamond"/>
        <family val="1"/>
      </rPr>
      <t>Serving as Dispersion Area</t>
    </r>
    <r>
      <rPr>
        <sz val="11"/>
        <rFont val="Garamond"/>
        <family val="1"/>
      </rPr>
      <t xml:space="preserve"> per SD-B (Ci=0.10)</t>
    </r>
  </si>
  <si>
    <r>
      <t xml:space="preserve">Natural Type A Soil </t>
    </r>
    <r>
      <rPr>
        <b/>
        <sz val="11"/>
        <rFont val="Garamond"/>
        <family val="1"/>
      </rPr>
      <t>Serving as Dispersion Area</t>
    </r>
    <r>
      <rPr>
        <sz val="11"/>
        <rFont val="Garamond"/>
        <family val="1"/>
      </rPr>
      <t xml:space="preserve"> per SD-B (Ci=0.10)</t>
    </r>
  </si>
  <si>
    <r>
      <t xml:space="preserve">Natural Type B Soil </t>
    </r>
    <r>
      <rPr>
        <b/>
        <sz val="11"/>
        <rFont val="Garamond"/>
        <family val="1"/>
      </rPr>
      <t>Serving as Dispersion Area</t>
    </r>
    <r>
      <rPr>
        <sz val="11"/>
        <rFont val="Garamond"/>
        <family val="1"/>
      </rPr>
      <t xml:space="preserve"> per SD-B (Ci=0.14)</t>
    </r>
  </si>
  <si>
    <r>
      <t xml:space="preserve">Natural Type C Soil </t>
    </r>
    <r>
      <rPr>
        <b/>
        <sz val="11"/>
        <rFont val="Garamond"/>
        <family val="1"/>
      </rPr>
      <t>Serving as Dispersion Area</t>
    </r>
    <r>
      <rPr>
        <sz val="11"/>
        <rFont val="Garamond"/>
        <family val="1"/>
      </rPr>
      <t xml:space="preserve"> per SD-B (Ci=0.23)</t>
    </r>
  </si>
  <si>
    <r>
      <t xml:space="preserve">Natural Type D Soil </t>
    </r>
    <r>
      <rPr>
        <b/>
        <sz val="11"/>
        <rFont val="Garamond"/>
        <family val="1"/>
      </rPr>
      <t>Serving as Dispersion Area</t>
    </r>
    <r>
      <rPr>
        <sz val="11"/>
        <rFont val="Garamond"/>
        <family val="1"/>
      </rPr>
      <t xml:space="preserve"> per SD-B (Ci=0.30)</t>
    </r>
  </si>
  <si>
    <t>Results</t>
  </si>
  <si>
    <t>Initial Runoff Factor Calculation</t>
  </si>
  <si>
    <t>Design Capture Volume After Dispersion Techniques</t>
  </si>
  <si>
    <t>Initial Runoff Factor for Standard Drainage Areas</t>
  </si>
  <si>
    <t>Initial Runoff Factor for Dispersed &amp; Dispersion Areas</t>
  </si>
  <si>
    <t>Runoff Factor After Dispersion Techniques</t>
  </si>
  <si>
    <t>QUESTIONS:</t>
  </si>
  <si>
    <t>Initial Weighted Runoff Factor</t>
  </si>
  <si>
    <t>%</t>
  </si>
  <si>
    <t xml:space="preserve">      PDS Land Development Project Manager</t>
  </si>
  <si>
    <t>-Questions relating to specific projects, submittal requirements, approval process, and/or policy-related issues should be directed your PDS Land Development Project Manager (link below).</t>
  </si>
  <si>
    <t>D</t>
  </si>
  <si>
    <t>NRCS Soil Type</t>
  </si>
  <si>
    <t>A</t>
  </si>
  <si>
    <t>B</t>
  </si>
  <si>
    <t>C</t>
  </si>
  <si>
    <t>Does not allow rain barrel larger than 100 gallons</t>
  </si>
  <si>
    <t>Does not allow rain barrel reduction of more than 25% of DCV.</t>
  </si>
  <si>
    <t>2. User input from BMPDM Figure B.1-1.</t>
  </si>
  <si>
    <t>3. User input from stormwater plans.</t>
  </si>
  <si>
    <t>Dispersion Area &amp; Rain Barrel  Inputs
(Optional)</t>
  </si>
  <si>
    <t>Dispersion Area Adjustment &amp; Rain Barrel Adjustment</t>
  </si>
  <si>
    <t>Does Tributary Incorporate Dispersion and/or Rain Barrels?</t>
  </si>
  <si>
    <t>Minimum Depths for Tree Wells from SD-A DCV Multiplier Table</t>
  </si>
  <si>
    <t>Tree Well Species from SD-A</t>
  </si>
  <si>
    <t>Botanical Name</t>
  </si>
  <si>
    <t>Common Name</t>
  </si>
  <si>
    <t>Mature Height</t>
  </si>
  <si>
    <t>Mature Canopy Diameter</t>
  </si>
  <si>
    <t>Credit Volume per Tree</t>
  </si>
  <si>
    <t>(feet)</t>
  </si>
  <si>
    <t>(feet3)</t>
  </si>
  <si>
    <t>feet</t>
  </si>
  <si>
    <t>Standard Tree Well Inputs</t>
  </si>
  <si>
    <t>Credit Volume Per Tree</t>
  </si>
  <si>
    <t>Required Retention Volume (RRV) To Meet Flow Control Requirements</t>
  </si>
  <si>
    <t>Min. Tree Well Soil Depth</t>
  </si>
  <si>
    <t>Hydrologic Soil Group</t>
  </si>
  <si>
    <t>DCV Multiplier</t>
  </si>
  <si>
    <t>DCV Multiplier To Meet Flow Control Requirements</t>
  </si>
  <si>
    <t>Tree Data</t>
  </si>
  <si>
    <t>Minimum Soil Volume Required In Tree Well
(2 Cubic Feet Per Square Foot of Mature Tree Canopy Projection Area)</t>
  </si>
  <si>
    <t>trees</t>
  </si>
  <si>
    <t>Is Hydromodification Control Applicable?</t>
  </si>
  <si>
    <t>Number of Trees Required</t>
  </si>
  <si>
    <t>4. User input from stormwater plans. Only required when hydromodification control is applicable.</t>
  </si>
  <si>
    <t>Predominant NRCS Soil Type Within Tree Well(s) Location</t>
  </si>
  <si>
    <t>Dispersion Area Length (Length of Sheet Flow Across Dispersion Area)</t>
  </si>
  <si>
    <t>Dispersion Area Slope</t>
  </si>
  <si>
    <t>Thickness of Amended Soil</t>
  </si>
  <si>
    <t>7. User input from stormwater plans.</t>
  </si>
  <si>
    <t>Distributed Roof Drains</t>
  </si>
  <si>
    <t>Distributed Curb Cuts</t>
  </si>
  <si>
    <t>Other (Describe in PDP SWQMP)</t>
  </si>
  <si>
    <t>How is Flow Dispersed Across Width of Pervious Dispersion Area?</t>
  </si>
  <si>
    <t>Sheet Flow Across Width of Adjacent Impervious Area</t>
  </si>
  <si>
    <t>Flow Spreader(s)</t>
  </si>
  <si>
    <t>Standard Dispersion Area Inputs</t>
  </si>
  <si>
    <t>Flow arrives as sheet flow across the width of the adjacent impervious area</t>
  </si>
  <si>
    <t>Flow is discharged from flow spreader(s) across the width of the pervious area</t>
  </si>
  <si>
    <t>Discharge from roof drains distributed across the width of the pervious area</t>
  </si>
  <si>
    <t>Discharge from curb cuts distributed across the width of the pervious area</t>
  </si>
  <si>
    <t>*How is Flow Dispersed Across Width of Pervious Dispersion Area?</t>
  </si>
  <si>
    <t>How is Flow Dispersed Across Width of Dispersion Area (definitions below*)?</t>
  </si>
  <si>
    <t>8. User input from stormwater plans.</t>
  </si>
  <si>
    <t>Creates a warning if hydromodification control is applicable but the ratio of impervious to pervious area is greater than 1.</t>
  </si>
  <si>
    <t>Creates a warning if the length is less than 10 feet.</t>
  </si>
  <si>
    <t>Creates a warning if the slope is greater than 5.</t>
  </si>
  <si>
    <t>Creates warning if the thickness is less than 11 inches when hydromodification control applies.</t>
  </si>
  <si>
    <t>Final Design Capture Volume (DCV)</t>
  </si>
  <si>
    <t>Creates a warning if DCV requirement has not been satisfied.</t>
  </si>
  <si>
    <t>Sheet Flow</t>
  </si>
  <si>
    <t>Spreader(s)</t>
  </si>
  <si>
    <t>Roof Drains</t>
  </si>
  <si>
    <t>Curb Cuts</t>
  </si>
  <si>
    <t>Sheet Flow:</t>
  </si>
  <si>
    <t>Spreader(s):</t>
  </si>
  <si>
    <t>Roof Drains:</t>
  </si>
  <si>
    <t>Curb Cuts:</t>
  </si>
  <si>
    <t>Other:</t>
  </si>
  <si>
    <t>Does Tributary Incorporate Tree Wells?</t>
  </si>
  <si>
    <t>SSD-BMPs Proposed</t>
  </si>
  <si>
    <t>Is DCV Requirement Fully Satisfied by Dispersion Area?</t>
  </si>
  <si>
    <t>Is Hydromodification Control Requirement Satisfied by Dispersion Area?</t>
  </si>
  <si>
    <t>Initial Design Capture Volume Retained by Dispersion Area and Rain Barrel(s)</t>
  </si>
  <si>
    <t>Remaining Design Capture Volume Tributary to Tree Well(s)</t>
  </si>
  <si>
    <t>Are Dispersion Area Length, Slope, and Thickness of Amended Soil (when applicable) Adequate?</t>
  </si>
  <si>
    <t>Number of Trees Proposed for this DMA</t>
  </si>
  <si>
    <t>Is Remaining DCV Requirement Fully Satisfied by Tree Well(s)?</t>
  </si>
  <si>
    <t>Is Hydromodification Control Requirement Satisfied by Tree Well(s)?</t>
  </si>
  <si>
    <t>Proposed Width of Tree Well(s) Soil Installation for One (1) Tree</t>
  </si>
  <si>
    <t>Proposed Length of Tree Well(s) Soil Installation for One (1) Tree</t>
  </si>
  <si>
    <t>Total Area of Tree Well Soil Required for Each Tree</t>
  </si>
  <si>
    <t>Approximate Required Width of Tree Well Soil Area for Each Tree</t>
  </si>
  <si>
    <t>Approximate Required Length of Tree Well Soil Area for Each Tree</t>
  </si>
  <si>
    <t>Total Area of Tree Well Soil Proposed for Each Tree</t>
  </si>
  <si>
    <t>Are Tree Well Soil Installation Requirements Met?</t>
  </si>
  <si>
    <t>Tree Well Sizing Calculations</t>
  </si>
  <si>
    <t>6. User input from stormwater plans. In accordance with SD-A Tree Wells Fact Sheet, depth must be 30 inches or greater. Select from standard depths typical of tree box sizes. If the actual proposed installation depth is not available in the table of standard depths, select the next lower depth.</t>
  </si>
  <si>
    <t>**If the actual proposed installation depth is not available in the table of standard depths, select the next lower depth.</t>
  </si>
  <si>
    <t>Tree Species Mature Height per SD-A</t>
  </si>
  <si>
    <t>Tree Species Mature Canopy Diameter per SD-A</t>
  </si>
  <si>
    <t>Minimum Spacing Between Multiple Trees To Meet Soil Area Requirements
(when applicable)***</t>
  </si>
  <si>
    <t>Creates a warning if hydromodification control is applicable but not satisfied.</t>
  </si>
  <si>
    <t>Creates a warning if length, slope, and thickness are either not completed or not satisfied.</t>
  </si>
  <si>
    <t>9. User input from stormwater plans.</t>
  </si>
  <si>
    <t>13. 2 cubic feet per square foot of mature tree canopy projection area: 2 x Pi x ((Line 12)/2)^2.</t>
  </si>
  <si>
    <t>15. When hydromodification control is applicable, populated from DCV Multiplier Table in SD-A Tree Wells Fact Sheet based on hydrologic soil type and tree well soil installation depth.</t>
  </si>
  <si>
    <t>16. When hydromodification control is applicable, DCV Multiplier x DCV: Line 15 x Line 2.</t>
  </si>
  <si>
    <t>17. When hydromodification control is applicable, Line 16 / Line 14 (RRV / Credit Volume per Tree); otherwise Line 2 / Line 14 (DCV / Credit Volume per Tree).</t>
  </si>
  <si>
    <t>18. Minimum required volume (2 cubic feet per square foot of mature tree canopy projection area) / proposed installation depth: Line 13 / ((Line 6)/12).</t>
  </si>
  <si>
    <t>19. The square root of the required area (assumes a square installation): (Line 13 / ((Line 6)/12))^0.5. This is a guideline for the user to estimate the installation size; however, the actual length, width and configuration may vary. Lines 7 and 8 control the final result.</t>
  </si>
  <si>
    <t>20. The square root of the required area (assumes a square installation): (Line 13 / ((Line 6)/12))^0.5. This is a guideline for the user to estimate the installation size; however, the actual length, width and configuration may vary. Lines 7 and 8 control the final result.</t>
  </si>
  <si>
    <t>21. Reflects user input from Line 7.</t>
  </si>
  <si>
    <t>22. Line 8 x Line 9.</t>
  </si>
  <si>
    <t>25. "Yes" when Lines 3 through 9 are completed and credit volume requirement is satisfied.</t>
  </si>
  <si>
    <t>24. "Yes" when Lines 3 through 9 are completed and soil installation requirements are satisfied.</t>
  </si>
  <si>
    <t>26. When hydromodification control is applicable, "Yes" when Lines 3 through 9 are completed and required retention volume is satisfied.</t>
  </si>
  <si>
    <t>Creates a warning if hydromodification control is "Yes" but soil type is not selected.</t>
  </si>
  <si>
    <t>Creates a warning if the proposed width of the installation results in soil volume outside of the 1.5R limit.</t>
  </si>
  <si>
    <t>Creates a warning if the proposed length of the installation results in soil volume outside of the 1.5R limit.</t>
  </si>
  <si>
    <t>Creates a warning if the required length &amp; width of a square installation results in soil volume outside of the 1.5R limit.</t>
  </si>
  <si>
    <t>Creates a warning if the number of trees entered by the user is not sufficient to provide the necessary credit volume.</t>
  </si>
  <si>
    <t>Creates a warning if the proposed length &amp; width of the installation result in insuffient area for the required soil volume.</t>
  </si>
  <si>
    <t>Creates a warning if tree well soil volume requirements (based on the tree) are not satisfied.</t>
  </si>
  <si>
    <t>Creates a warning if DCV is not satisfied.</t>
  </si>
  <si>
    <t>Creates a warning if hydromodification control is applicable and RRV is not satisfied.</t>
  </si>
  <si>
    <t>(Version 1.0)</t>
  </si>
  <si>
    <t>County of San Diego Automated Worksheets for Significant Site Design BMPs (SSD-BMPs)</t>
  </si>
  <si>
    <t>SD-A Tree Wells and SD-B Impervious Area Dispersion (Dispersion Areas)</t>
  </si>
  <si>
    <r>
      <rPr>
        <b/>
        <sz val="14"/>
        <color theme="1"/>
        <rFont val="Garamond"/>
        <family val="1"/>
      </rPr>
      <t>Step 2. Dispersion Areas:</t>
    </r>
    <r>
      <rPr>
        <sz val="14"/>
        <color theme="1"/>
        <rFont val="Garamond"/>
        <family val="1"/>
      </rPr>
      <t xml:space="preserve"> [Projects that do not use Dispersion Areas skip this step and go on to Step 3.] When the project includes Dispersion Areas per SD-B, provide required inputs to demonstrate that the requirements for Dispersion Areas are satisfied. If the DMA will also use SD-A Tree Wells downstream of the Dispersion Area to satisfy pollutant control and hydromodification control (when applicable), continue to Step 3. Tree Wells.</t>
    </r>
  </si>
  <si>
    <r>
      <rPr>
        <b/>
        <sz val="14"/>
        <color theme="1"/>
        <rFont val="Garamond"/>
        <family val="1"/>
      </rPr>
      <t>Step 3. Tree Wells:</t>
    </r>
    <r>
      <rPr>
        <sz val="14"/>
        <color theme="1"/>
        <rFont val="Garamond"/>
        <family val="1"/>
      </rPr>
      <t xml:space="preserve"> [Projects that do not use Tree Wells do not use this Step.] When the project includes Tree Wells per SD-A, provide required inputs to demonstrate that the requirements for Tree Wells are satisfied.</t>
    </r>
  </si>
  <si>
    <t>Notes:</t>
  </si>
  <si>
    <t>Number of Identical* Tree Wells Proposed for this DMA</t>
  </si>
  <si>
    <t>Draft Worksheets</t>
  </si>
  <si>
    <t>The County of San Diego has developed this tool in an effort to streamline traditionally complex efforts associated with planning, design, submittal, and review of PDPs. While the calculations performed herein are deemed to be in compliance with 2013 MS4 Permit requirements, applicants may elect to provide their own calculations. Use of this tool is optional and the County will not be held liable for any errors or other negative impacts associated with its use. In the event that the County performs updates to these worksheets, applicants that have not established reliance on previous versions of the worksheet via discretionary approval may be required to utilize the latest version of the worksheets. A summary of version releases is included below.</t>
  </si>
  <si>
    <t xml:space="preserve">Welcome to the County of San Diego Automated Worksheets for Significant Site Design BMPs. These worksheets may be used to demonstrate compliance with stormwater pollutant control standards and hydromodification flow control standards set forth in the 2013 MS4 Permit for Priority Development Projects (PDPs).
</t>
  </si>
  <si>
    <t>-General questions/comments on this worksheet may be directed via email to BMP.Program@sdcounty.ca.gov with the subject line "SSD-BMP assistance."</t>
  </si>
  <si>
    <t>Ceanothus 'Ray Hartman'</t>
  </si>
  <si>
    <t>Pittosporum Phillyraeoides</t>
  </si>
  <si>
    <t>Salix Lasiolepsis</t>
  </si>
  <si>
    <t>Arbutus Unedo</t>
  </si>
  <si>
    <t>Prunus Ilicifolia</t>
  </si>
  <si>
    <t>Prunus Lynoii</t>
  </si>
  <si>
    <t>Cercis Occidentalis</t>
  </si>
  <si>
    <t>Heteromeles Arbutifolia</t>
  </si>
  <si>
    <t>Alnus Rhombifolia</t>
  </si>
  <si>
    <t>Arbutus 'Marina'</t>
  </si>
  <si>
    <t>Chilopsis Linearis</t>
  </si>
  <si>
    <t>Lyonothamnus Floribundus</t>
  </si>
  <si>
    <t>Magnolia Grandiflora</t>
  </si>
  <si>
    <t>Pinus Torreyana</t>
  </si>
  <si>
    <t>Platanus Racemosa</t>
  </si>
  <si>
    <t>Quercus Agrifolia</t>
  </si>
  <si>
    <t>Quercus Engelmannii</t>
  </si>
  <si>
    <t>Quercus Suber</t>
  </si>
  <si>
    <t>Sambucus Mexicana</t>
  </si>
  <si>
    <t>SD-A List Number</t>
  </si>
  <si>
    <t>Botanical Name of  Tree Species</t>
  </si>
  <si>
    <r>
      <rPr>
        <b/>
        <sz val="14"/>
        <color theme="1"/>
        <rFont val="Garamond"/>
        <family val="1"/>
      </rPr>
      <t xml:space="preserve">General: </t>
    </r>
    <r>
      <rPr>
        <sz val="14"/>
        <color theme="1"/>
        <rFont val="Garamond"/>
        <family val="1"/>
      </rPr>
      <t xml:space="preserve">To use this workbook, navigate to each of the worksheet tabs below and populate </t>
    </r>
    <r>
      <rPr>
        <u/>
        <sz val="14"/>
        <color theme="1"/>
        <rFont val="Garamond"/>
        <family val="1"/>
      </rPr>
      <t>all</t>
    </r>
    <r>
      <rPr>
        <sz val="14"/>
        <color theme="1"/>
        <rFont val="Garamond"/>
        <family val="1"/>
      </rPr>
      <t xml:space="preserve"> light green cells with project specific information.  </t>
    </r>
    <r>
      <rPr>
        <u/>
        <sz val="14"/>
        <color theme="1"/>
        <rFont val="Garamond"/>
        <family val="1"/>
      </rPr>
      <t>Light green</t>
    </r>
    <r>
      <rPr>
        <sz val="14"/>
        <color theme="1"/>
        <rFont val="Garamond"/>
        <family val="1"/>
      </rPr>
      <t xml:space="preserve"> cells require user input, </t>
    </r>
    <r>
      <rPr>
        <u/>
        <sz val="14"/>
        <color theme="1"/>
        <rFont val="Garamond"/>
        <family val="1"/>
      </rPr>
      <t>white</t>
    </r>
    <r>
      <rPr>
        <sz val="14"/>
        <color theme="1"/>
        <rFont val="Garamond"/>
        <family val="1"/>
      </rPr>
      <t xml:space="preserve"> cells are locked for editing and are automatically calculated, </t>
    </r>
    <r>
      <rPr>
        <u/>
        <sz val="14"/>
        <rFont val="Garamond"/>
        <family val="1"/>
      </rPr>
      <t>bright green</t>
    </r>
    <r>
      <rPr>
        <sz val="14"/>
        <color theme="1"/>
        <rFont val="Garamond"/>
        <family val="1"/>
      </rPr>
      <t xml:space="preserve"> cells are also locked for editing and are automatically populated based on results from previous worksheet tabs, </t>
    </r>
    <r>
      <rPr>
        <u/>
        <sz val="14"/>
        <color theme="1"/>
        <rFont val="Garamond"/>
        <family val="1"/>
      </rPr>
      <t>grey</t>
    </r>
    <r>
      <rPr>
        <sz val="14"/>
        <color theme="1"/>
        <rFont val="Garamond"/>
        <family val="1"/>
      </rPr>
      <t xml:space="preserve"> cells are items that do not require user input because of previous user inputs, </t>
    </r>
    <r>
      <rPr>
        <u/>
        <sz val="14"/>
        <color theme="1"/>
        <rFont val="Garamond"/>
        <family val="1"/>
      </rPr>
      <t>orange</t>
    </r>
    <r>
      <rPr>
        <sz val="14"/>
        <color theme="1"/>
        <rFont val="Garamond"/>
        <family val="1"/>
      </rPr>
      <t xml:space="preserve"> cells represent warnings where supplemental information and/or revisions may be required for compliance. The worksheets are formatted to accommodate calculations for up to 10 drainage areas and associated BMPs. Each drainage area and BMP is represented as a discrete column with corresponding user inputs and calculations appearing in the rows below. Please note that projects with more than 10 drainage areas may need to use more than one workbook to accommodate the entire project.</t>
    </r>
    <r>
      <rPr>
        <b/>
        <sz val="14"/>
        <color theme="1"/>
        <rFont val="Garamond"/>
        <family val="1"/>
      </rPr>
      <t xml:space="preserve">
</t>
    </r>
    <r>
      <rPr>
        <b/>
        <sz val="14"/>
        <color rgb="FFC00000"/>
        <rFont val="Garamond"/>
        <family val="1"/>
      </rPr>
      <t xml:space="preserve">
</t>
    </r>
    <r>
      <rPr>
        <sz val="14"/>
        <color rgb="FFC00000"/>
        <rFont val="Garamond"/>
        <family val="1"/>
      </rPr>
      <t xml:space="preserve">
</t>
    </r>
  </si>
  <si>
    <t>This workbook is intended for use to demonstrate compliance when significant site design BMPs (SSD-BMPs) are proposed. SSD-BMPs are passive treatment systems that include SD-A Tree Wells and SD-B Dispersion Areas. This worksheet does not support the use of underdrains in SD-A or SD-B. If underdrains are proposed, then continuous simlation modeling should be performed.</t>
  </si>
  <si>
    <t>When structural BMPs (INF-1, INF-2, INF-3, PR-1, BF-1, BF-2) are proposed, a different workbook, "County of San Diego Automated Stormwater Pollutant Control Worksheets" must be used.</t>
  </si>
  <si>
    <t>Tree Well(s) Soil Depth (Installation Depth)
Must be 30, 36, 42, or 48 Inches; Select from Standard Depths**</t>
  </si>
  <si>
    <t>Creates a warning if the user has not completed the HMP applicability cell in Step 1. DCV</t>
  </si>
  <si>
    <t>Ratio of Dispersed Impervious Area to Pervious Dispersion Area for DCV Reduction</t>
  </si>
  <si>
    <t>Ratio of Dispersed Impervious Area to
Total Engineered Pervious Surface and/or Natural Soil Dispersion Area</t>
  </si>
  <si>
    <t>Total Engineered Pervious Surface and/or Natural Soil Dispersion Area
(Does Not Include Semi-Pervious Surfaces Serving as Dispersion Area)</t>
  </si>
  <si>
    <t>22. Sum of Lines 4 through 19.</t>
  </si>
  <si>
    <t>29. [Line 27 / Line 28]. If greater than 4.0 dispersion benefits are not quantified.</t>
  </si>
  <si>
    <t>30. Lookup values from Table B.1-1 weighted with respect to distribution of dispersion areas specified in Lines 14-19.</t>
  </si>
  <si>
    <t>34. Line 31 x [1 - (Line 33/Line 32)]. Value must be between zero and one.</t>
  </si>
  <si>
    <t>37. [Line 26 - Line 36]. Minimum result of 0.</t>
  </si>
  <si>
    <t>10. User input from stormwater plans.</t>
  </si>
  <si>
    <t>11. "Yes" when DCV = 0.</t>
  </si>
  <si>
    <t>13. "Yes" when length, slope, and thickness (for hydromodification control) meet requirements of SD-B.</t>
  </si>
  <si>
    <t>12. When hydromodification control is applicable, "Yes" when remaining DCV=0, ratio&lt;=1, and thickness &gt;=11.0 inches.</t>
  </si>
  <si>
    <t>Creates a warning if the user enters data in the dispersion and/or rain barrel cells without checking "Yes" to activate the cells.</t>
  </si>
  <si>
    <r>
      <rPr>
        <b/>
        <sz val="14"/>
        <color theme="1"/>
        <rFont val="Garamond"/>
        <family val="1"/>
      </rPr>
      <t>Step 1. DCV:</t>
    </r>
    <r>
      <rPr>
        <sz val="14"/>
        <color theme="1"/>
        <rFont val="Garamond"/>
        <family val="1"/>
      </rPr>
      <t xml:space="preserve"> Provide the required inputs to determine the design capture volume (DCV) for each PDP drainage management area (DMA). The calculations in this worksheet determine the initial design capture volume and also apply any applicable reductions associated with dispersion to pervious surfaces and incorporation of rain barrels. For DMAs intended to satisfy pollutant control and hydromodification control (when applicable) requirements using Dispersion Areas alone (i.e., not in combination with Tree Wells), the data entered in this tab must provide sufficient pervious area to reduce the remaining DCV in Line 37 to zero. Note that the use of semi-pervious surfaces as dispersion area will not reduce DCV to zero, but the use of engineered pervious surfaces and/or natural pervious surfaces can. For DMAs intended to incorporate Tree Wells, the remaining DCV in Line 37 is the amount to be managed by Tree Wells.</t>
    </r>
  </si>
  <si>
    <t>Does not allow rain barrel reduction of more than 25% of initial DCV (before dispersion).</t>
  </si>
  <si>
    <t>33. [Line 20 x Line 21/7.48]. Limited to 100 gallons per rain barrel and limited to maximum of 25% of Line 26.</t>
  </si>
  <si>
    <t>Provide in PDP SWQMP</t>
  </si>
  <si>
    <t>N/A</t>
  </si>
  <si>
    <t>10' -  California Mountain Lilac</t>
  </si>
  <si>
    <t>10' - Other</t>
  </si>
  <si>
    <t>15' - Willow Pittosporum</t>
  </si>
  <si>
    <t>15' - Arroyo Willow</t>
  </si>
  <si>
    <t>15' - Other</t>
  </si>
  <si>
    <t>20' - Strawberry Tree</t>
  </si>
  <si>
    <t>20' - Hollyleaf Cherry</t>
  </si>
  <si>
    <t>20' - Catalina Cherry</t>
  </si>
  <si>
    <t>20' - Other</t>
  </si>
  <si>
    <t>Select a Tree Species for the Tree Well(s) Consistent with SD-A Tree Palette Table
Note: Numbers shown in list are Tree Species Mature Canopy Diameters</t>
  </si>
  <si>
    <t>25' - Western Redbud</t>
  </si>
  <si>
    <t>25' - Toyon, Christmas Berry</t>
  </si>
  <si>
    <t>25' - Other</t>
  </si>
  <si>
    <t>30' - White Elder</t>
  </si>
  <si>
    <t>30' - Hybrid Strawberry Tree</t>
  </si>
  <si>
    <t>30' - Desert Willow</t>
  </si>
  <si>
    <t>30' - Catalina Ironwood</t>
  </si>
  <si>
    <t>30' - Southern Magnolia</t>
  </si>
  <si>
    <t>30' - Torrey Pine</t>
  </si>
  <si>
    <t>30' - California Sycamore</t>
  </si>
  <si>
    <t>30' - Coast Live Oak</t>
  </si>
  <si>
    <t>30' - Engelmann Oak</t>
  </si>
  <si>
    <t>30' - Cork Oak</t>
  </si>
  <si>
    <t>30' - Blue Elderberry</t>
  </si>
  <si>
    <t>30' - Other</t>
  </si>
  <si>
    <t>5. User input from stormwater plans. Select from Tree Palette Table in SD-A Tree Wells Fact Sheet. Tree species other than those listed are allowable, but must be approved by the County. Provide documentation in PDP SWQMP for alternative species.</t>
  </si>
  <si>
    <t>11. Populated from Tree Palette Table in SD-A Tree Wells Fact Sheet. Provide documentation in PDP SWQMP for alternative species.</t>
  </si>
  <si>
    <t>12. Populated from Tree Palette Table in SD-A Tree Wells Fact Sheet. Provide documentation in PDP SWQMP for alternative species.</t>
  </si>
  <si>
    <t>14. Populated from Tree Palette Table in SD-A Tree Wells Fact Sheet based on Mature Canopy Diameter.</t>
  </si>
  <si>
    <t>23. When number of trees proposed &gt; 1, Maximum of Mature Canopy Diameter or Proposed Dimension of Soil Installation (Line 12 or Lines 8 and 9).</t>
  </si>
  <si>
    <t>10. Populated based on selected tree species from Tree Palette Table in SD-A Tree Wells Fact Sheet. Provide documentation in PDP SWQMP for alternative species.</t>
  </si>
  <si>
    <t>Creates a warning if the tree species is not listed in SD-A.</t>
  </si>
  <si>
    <t>SSD-BMP Automated Worksheet I-1: Step 1. Calculation of Design Capture Volume (V1.0)</t>
  </si>
  <si>
    <t>SSD-BMP Automated Worksheet I-2: Step 2. Dispersion Area Validation (V1.0)</t>
  </si>
  <si>
    <t>6. Line 4 / Line 5.</t>
  </si>
  <si>
    <t>1. User input from stormwater plans.</t>
  </si>
  <si>
    <t>4. User input from stormwater plans.</t>
  </si>
  <si>
    <t>5. User input from stormwater plans.</t>
  </si>
  <si>
    <t>6. User input from stormwater plans.</t>
  </si>
  <si>
    <t>11. User input. Default is "No". Select Yes if any of the referenced elements are proposed.</t>
  </si>
  <si>
    <t>12. User input. Default is "No". Select Yes if any of the referenced elements are proposed.</t>
  </si>
  <si>
    <t>13. User input from stormwater plans. Must satisfy criteria from Fact Sheet SD-B.</t>
  </si>
  <si>
    <t>14. User input from stormwater plans. Must satisfy criteria from Fact Sheet SD-B.</t>
  </si>
  <si>
    <t>15. User input from stormwater plans. Must satisfy criteria from Fact Sheet SD-B.</t>
  </si>
  <si>
    <t>16. User input from stormwater plans. Must satisfy criteria from Fact Sheet SD-B.</t>
  </si>
  <si>
    <t>17. User input from stormwater plans. Must satisfy criteria from Fact Sheet SD-B.</t>
  </si>
  <si>
    <t>18. User input from stormwater plans. Must satisfy criteria from Fact Sheet SD-B.</t>
  </si>
  <si>
    <t>19. User input from stormwater plans. Must satisfy criteria from Fact Sheet SD-B.</t>
  </si>
  <si>
    <t>20. User input. Must satisfy criteria from Fact Sheet SD-E. Cannot provide more than a 25% reduction to initial DCV.</t>
  </si>
  <si>
    <t>21. User input. Must satisfy criteria from Fact Sheet SD-E. Acceptable range 0-100 gallons for generic volume reductions.</t>
  </si>
  <si>
    <t>23. [0.9(Line 4) + 0.3(Line 5 + Line 10) + 0.1(Line 6 + Line 7) + 0.14(Line 8) + 0.23(Line 9)] /(Sum of Lines 4 through Line 10).</t>
  </si>
  <si>
    <t>24. [0.9(Line 13) + 0.3(Line 14 + Line 19) + 0.1(Line 15 + Line 16) + 0.14(Line 17) + 0.23(Line 18)] /(Sum of Lines 13 through Line 19).</t>
  </si>
  <si>
    <t>25. [(Line 23 x (Sum of Lines 4 through 10) + Line 24 x (Sum of Lines 13 through 19)) / Line 22].</t>
  </si>
  <si>
    <t>26. (Line 2/12) x Line 22 x Line 25.</t>
  </si>
  <si>
    <t>27. Line 13.</t>
  </si>
  <si>
    <t>31. [Line 23 x (Sum of Lines 4 through Line 10) + Line 24 x Line 30 x (Sum of Lines 13 through Line 19)] / Line 22.</t>
  </si>
  <si>
    <t>32. (Line 2/12) x Line 22 x Line 31.</t>
  </si>
  <si>
    <t>35. Line 22 x Line 34.</t>
  </si>
  <si>
    <t>36. [(Line 26 - Line 32) + Line 33].</t>
  </si>
  <si>
    <t>28. Sum of Lines 14 through 19.</t>
  </si>
  <si>
    <t>1. Populated per result of Worksheet I-1 (Step 1. DCV) Line 1.</t>
  </si>
  <si>
    <t>2. Populated per result of Worksheet I-1 (Step 1. DCV) Line 37.</t>
  </si>
  <si>
    <t>3. Populated per result of Worksheet I-1 (Step 1. DCV) Line 3.</t>
  </si>
  <si>
    <t>4. Populated per result of Worksheet I-1 (Step 1. DCV) Line 13.</t>
  </si>
  <si>
    <t>5. Populated per result of Worksheet I-1 (Step 1. DCV) Sum of Lines 15 through 19.</t>
  </si>
  <si>
    <t>SSD-BMP Automated Worksheet I-3: Step 3. Tree Well Sizing (V1.0)</t>
  </si>
  <si>
    <t>SSD-BMP Worksheet I-1 Line Item Notes</t>
  </si>
  <si>
    <t>SSD-BMP Worksheet I-2 Line Item Notes</t>
  </si>
  <si>
    <t>SSD-BMP Worksheet I-3 Line Item Notes</t>
  </si>
  <si>
    <t>V1.0</t>
  </si>
  <si>
    <t>*If using more than one mature canopy diameter within the same DMA, only the smallest mature canopy diameter should be entered. Alternatively, if more than one mature canopy diameter is proposed and/or the dimensions of multiple tree well installations will vary, separate DMAs may be delineated.</t>
  </si>
  <si>
    <t>***Tree Canopy or Agency Requirements May Also Influence the Minimum Spacing of Trees.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</si>
</sst>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47"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0"/>
      <name val="Arial"/>
      <family val="2"/>
    </font>
    <font>
      <sz val="11"/>
      <color indexed="8"/>
      <name val="Calibri"/>
      <family val="2"/>
    </font>
    <font>
      <sz val="10"/>
      <name val="Arial"/>
      <family val="2"/>
    </font>
    <font>
      <sz val="10"/>
      <color rgb="FF000000"/>
      <name val="Times New Roman"/>
      <family val="1"/>
    </font>
    <font>
      <sz val="11"/>
      <color rgb="FFFF0000"/>
      <name val="Calibri"/>
      <family val="2"/>
      <scheme val="minor"/>
    </font>
    <font>
      <sz val="11"/>
      <color rgb="FFFF0000"/>
      <name val="Garamond"/>
      <family val="1"/>
    </font>
    <font>
      <sz val="11"/>
      <color theme="1"/>
      <name val="Garamond"/>
      <family val="1"/>
    </font>
    <font>
      <sz val="11"/>
      <color rgb="FFC00000"/>
      <name val="Garamond"/>
      <family val="1"/>
    </font>
    <font>
      <sz val="11"/>
      <name val="Garamond"/>
      <family val="1"/>
    </font>
    <font>
      <b/>
      <sz val="11"/>
      <color theme="0"/>
      <name val="Garamond"/>
      <family val="1"/>
    </font>
    <font>
      <b/>
      <sz val="11"/>
      <name val="Garamond"/>
      <family val="1"/>
    </font>
    <font>
      <b/>
      <sz val="11"/>
      <color rgb="FFC00000"/>
      <name val="Garamond"/>
      <family val="1"/>
    </font>
    <font>
      <b/>
      <u/>
      <sz val="11"/>
      <color rgb="FFC00000"/>
      <name val="Garamond"/>
      <family val="1"/>
    </font>
    <font>
      <b/>
      <sz val="11"/>
      <color rgb="FFFF0000"/>
      <name val="Garamond"/>
      <family val="1"/>
    </font>
    <font>
      <sz val="11"/>
      <color theme="0" tint="-0.499984740745262"/>
      <name val="Garamond"/>
      <family val="1"/>
    </font>
    <font>
      <b/>
      <i/>
      <sz val="11"/>
      <color theme="0" tint="-0.499984740745262"/>
      <name val="Garamond"/>
      <family val="1"/>
    </font>
    <font>
      <b/>
      <i/>
      <sz val="11"/>
      <color theme="0"/>
      <name val="Garamond"/>
      <family val="1"/>
    </font>
    <font>
      <u/>
      <sz val="11"/>
      <name val="Garamond"/>
      <family val="1"/>
    </font>
    <font>
      <b/>
      <sz val="18"/>
      <color theme="1"/>
      <name val="Garamond"/>
      <family val="1"/>
    </font>
    <font>
      <b/>
      <u/>
      <sz val="14"/>
      <color theme="1"/>
      <name val="Garamond"/>
      <family val="1"/>
    </font>
    <font>
      <sz val="14"/>
      <color theme="1"/>
      <name val="Garamond"/>
      <family val="1"/>
    </font>
    <font>
      <b/>
      <sz val="14"/>
      <color theme="1"/>
      <name val="Garamond"/>
      <family val="1"/>
    </font>
    <font>
      <b/>
      <sz val="14"/>
      <color rgb="FFC00000"/>
      <name val="Garamond"/>
      <family val="1"/>
    </font>
    <font>
      <b/>
      <u/>
      <sz val="14"/>
      <name val="Garamond"/>
      <family val="1"/>
    </font>
    <font>
      <sz val="14"/>
      <name val="Garamond"/>
      <family val="1"/>
    </font>
    <font>
      <b/>
      <sz val="14"/>
      <name val="Garamond"/>
      <family val="1"/>
    </font>
    <font>
      <b/>
      <sz val="12"/>
      <color theme="1"/>
      <name val="Garamond"/>
      <family val="1"/>
    </font>
    <font>
      <b/>
      <sz val="12"/>
      <color theme="0"/>
      <name val="Garamond"/>
      <family val="1"/>
    </font>
    <font>
      <sz val="12"/>
      <color theme="1"/>
      <name val="Garamond"/>
      <family val="1"/>
    </font>
    <font>
      <i/>
      <sz val="11"/>
      <color theme="0"/>
      <name val="Garamond"/>
      <family val="1"/>
    </font>
    <font>
      <u/>
      <sz val="14"/>
      <color theme="1"/>
      <name val="Garamond"/>
      <family val="1"/>
    </font>
    <font>
      <sz val="9"/>
      <color indexed="81"/>
      <name val="Tahoma"/>
      <family val="2"/>
    </font>
    <font>
      <sz val="12"/>
      <name val="Garamond"/>
      <family val="1"/>
    </font>
    <font>
      <u/>
      <sz val="11"/>
      <color theme="10"/>
      <name val="Calibri"/>
      <family val="2"/>
      <scheme val="minor"/>
    </font>
    <font>
      <sz val="14"/>
      <color theme="10"/>
      <name val="Garamond"/>
      <family val="1"/>
    </font>
    <font>
      <sz val="12"/>
      <color rgb="FFC00000"/>
      <name val="Garamond"/>
      <family val="1"/>
    </font>
    <font>
      <u/>
      <sz val="14"/>
      <name val="Garamond"/>
      <family val="1"/>
    </font>
    <font>
      <b/>
      <sz val="18"/>
      <name val="Garamond"/>
      <family val="1"/>
    </font>
    <font>
      <sz val="14"/>
      <color rgb="FFC00000"/>
      <name val="Garamond"/>
      <family val="1"/>
    </font>
    <font>
      <b/>
      <u/>
      <sz val="10.5"/>
      <color rgb="FFC00000"/>
      <name val="Garamond"/>
      <family val="1"/>
    </font>
    <font>
      <sz val="10.5"/>
      <color rgb="FFC00000"/>
      <name val="Garamond"/>
      <family val="1"/>
    </font>
    <font>
      <i/>
      <sz val="11"/>
      <color theme="1"/>
      <name val="Calibri"/>
      <family val="2"/>
      <scheme val="minor"/>
    </font>
    <font>
      <b/>
      <sz val="11"/>
      <color theme="1"/>
      <name val="Garamond"/>
      <family val="1"/>
    </font>
  </fonts>
  <fills count="11">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rgb="FFCCFFCC"/>
        <bgColor indexed="64"/>
      </patternFill>
    </fill>
    <fill>
      <patternFill patternType="solid">
        <fgColor rgb="FF00FF9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thin">
        <color theme="0"/>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right/>
      <top/>
      <bottom style="thin">
        <color theme="0"/>
      </bottom>
      <diagonal/>
    </border>
    <border>
      <left style="thin">
        <color indexed="64"/>
      </left>
      <right/>
      <top/>
      <bottom style="thin">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6">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6" fillId="0" borderId="0"/>
    <xf numFmtId="0" fontId="3" fillId="0" borderId="0"/>
    <xf numFmtId="9" fontId="6" fillId="0" borderId="0" applyFont="0" applyFill="0" applyBorder="0" applyAlignment="0" applyProtection="0"/>
    <xf numFmtId="0" fontId="7" fillId="0" borderId="0"/>
    <xf numFmtId="0" fontId="6" fillId="0" borderId="0"/>
    <xf numFmtId="0" fontId="4" fillId="0" borderId="0"/>
    <xf numFmtId="0" fontId="4" fillId="0" borderId="0"/>
    <xf numFmtId="9" fontId="4" fillId="0" borderId="0" applyFont="0" applyFill="0" applyBorder="0" applyAlignment="0" applyProtection="0"/>
    <xf numFmtId="0" fontId="4" fillId="0" borderId="0"/>
    <xf numFmtId="0" fontId="37" fillId="0" borderId="0" applyNumberFormat="0" applyFill="0" applyBorder="0" applyAlignment="0" applyProtection="0"/>
    <xf numFmtId="0" fontId="4" fillId="0" borderId="0"/>
    <xf numFmtId="0" fontId="4" fillId="0" borderId="0"/>
    <xf numFmtId="0" fontId="4" fillId="0" borderId="0"/>
  </cellStyleXfs>
  <cellXfs count="231">
    <xf numFmtId="0" fontId="0" fillId="0" borderId="0" xfId="0"/>
    <xf numFmtId="2" fontId="0" fillId="4"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8" fillId="0" borderId="0" xfId="0" applyFont="1" applyProtection="1"/>
    <xf numFmtId="0" fontId="0" fillId="0" borderId="1" xfId="0" applyBorder="1" applyAlignment="1">
      <alignment horizontal="center" vertical="center"/>
    </xf>
    <xf numFmtId="0" fontId="0" fillId="0" borderId="11" xfId="0" applyBorder="1" applyProtection="1"/>
    <xf numFmtId="0" fontId="9" fillId="0" borderId="0" xfId="0" applyFont="1" applyProtection="1"/>
    <xf numFmtId="0" fontId="10" fillId="0" borderId="0" xfId="0" applyFont="1" applyProtection="1"/>
    <xf numFmtId="1" fontId="12" fillId="0" borderId="1" xfId="0" applyNumberFormat="1" applyFont="1" applyFill="1" applyBorder="1" applyAlignment="1" applyProtection="1">
      <alignment horizontal="center" vertical="center"/>
    </xf>
    <xf numFmtId="0" fontId="10" fillId="0" borderId="0" xfId="0" applyFont="1" applyAlignment="1" applyProtection="1">
      <alignment vertical="center"/>
    </xf>
    <xf numFmtId="0" fontId="14" fillId="0" borderId="0" xfId="0" applyFont="1" applyFill="1" applyBorder="1" applyAlignment="1" applyProtection="1">
      <alignment horizontal="center"/>
    </xf>
    <xf numFmtId="0" fontId="17" fillId="0" borderId="0" xfId="0" applyFont="1" applyBorder="1" applyAlignment="1" applyProtection="1">
      <alignment horizontal="center"/>
    </xf>
    <xf numFmtId="0" fontId="14" fillId="0" borderId="0" xfId="0" applyFont="1" applyBorder="1" applyAlignment="1" applyProtection="1">
      <alignment horizontal="center"/>
    </xf>
    <xf numFmtId="0" fontId="0" fillId="6" borderId="1"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0" fillId="0" borderId="0" xfId="0" applyBorder="1"/>
    <xf numFmtId="0" fontId="1" fillId="0" borderId="0" xfId="0" applyFont="1"/>
    <xf numFmtId="0" fontId="0" fillId="5" borderId="1" xfId="0" applyFill="1" applyBorder="1" applyAlignment="1">
      <alignment horizontal="center" vertical="center" wrapText="1"/>
    </xf>
    <xf numFmtId="0" fontId="0" fillId="0" borderId="1" xfId="0" applyBorder="1" applyAlignment="1">
      <alignment horizontal="center"/>
    </xf>
    <xf numFmtId="0" fontId="0" fillId="0" borderId="4" xfId="0" applyBorder="1"/>
    <xf numFmtId="0" fontId="0" fillId="0" borderId="4" xfId="0"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xf>
    <xf numFmtId="2" fontId="0" fillId="4" borderId="1" xfId="0" applyNumberFormat="1" applyFill="1" applyBorder="1" applyAlignment="1">
      <alignment horizontal="center"/>
    </xf>
    <xf numFmtId="164" fontId="0" fillId="4"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10" fillId="0" borderId="9" xfId="0" applyFont="1" applyBorder="1" applyAlignment="1" applyProtection="1">
      <alignment vertical="center"/>
    </xf>
    <xf numFmtId="0" fontId="10" fillId="0" borderId="10" xfId="0" applyFont="1" applyBorder="1" applyAlignment="1" applyProtection="1">
      <alignment vertical="center"/>
    </xf>
    <xf numFmtId="0" fontId="10" fillId="0" borderId="10" xfId="0" applyFont="1" applyBorder="1" applyProtection="1"/>
    <xf numFmtId="0" fontId="18" fillId="0" borderId="0" xfId="0" applyFont="1" applyFill="1" applyBorder="1" applyAlignment="1" applyProtection="1">
      <alignment vertical="center" wrapText="1"/>
    </xf>
    <xf numFmtId="0" fontId="10" fillId="0" borderId="0" xfId="0" applyFont="1" applyBorder="1"/>
    <xf numFmtId="0" fontId="24" fillId="0" borderId="0" xfId="0" applyFont="1" applyBorder="1"/>
    <xf numFmtId="0" fontId="28" fillId="0" borderId="0" xfId="0" applyFont="1" applyFill="1" applyBorder="1"/>
    <xf numFmtId="0" fontId="0" fillId="0" borderId="21" xfId="0" applyBorder="1"/>
    <xf numFmtId="0" fontId="0" fillId="0" borderId="22" xfId="0" applyBorder="1"/>
    <xf numFmtId="0" fontId="0" fillId="0" borderId="17" xfId="0" applyBorder="1"/>
    <xf numFmtId="0" fontId="0" fillId="0" borderId="18" xfId="0" applyBorder="1"/>
    <xf numFmtId="0" fontId="0" fillId="0" borderId="23" xfId="0" applyBorder="1"/>
    <xf numFmtId="0" fontId="18" fillId="0" borderId="0" xfId="0" applyFont="1" applyBorder="1" applyAlignment="1" applyProtection="1">
      <alignment horizontal="left" vertical="center"/>
    </xf>
    <xf numFmtId="0" fontId="18" fillId="0" borderId="11" xfId="0" applyFont="1" applyFill="1" applyBorder="1" applyAlignment="1" applyProtection="1">
      <alignment vertical="center" wrapText="1"/>
    </xf>
    <xf numFmtId="0" fontId="15" fillId="0" borderId="0" xfId="0" applyFont="1" applyFill="1" applyBorder="1" applyAlignment="1" applyProtection="1">
      <alignment horizontal="center" vertical="top"/>
    </xf>
    <xf numFmtId="0" fontId="0" fillId="0" borderId="0" xfId="0" applyBorder="1" applyProtection="1"/>
    <xf numFmtId="0" fontId="19" fillId="0" borderId="4" xfId="0" applyFont="1" applyFill="1" applyBorder="1" applyAlignment="1" applyProtection="1">
      <alignment horizontal="center" vertical="top"/>
    </xf>
    <xf numFmtId="0" fontId="19" fillId="0" borderId="0" xfId="0" applyFont="1" applyFill="1" applyBorder="1" applyAlignment="1" applyProtection="1">
      <alignment horizontal="center" vertical="top"/>
    </xf>
    <xf numFmtId="0" fontId="0" fillId="0" borderId="12" xfId="0" applyBorder="1" applyProtection="1"/>
    <xf numFmtId="3" fontId="12" fillId="0" borderId="1" xfId="0" applyNumberFormat="1" applyFont="1" applyFill="1" applyBorder="1" applyAlignment="1" applyProtection="1">
      <alignment horizontal="left" vertical="center"/>
    </xf>
    <xf numFmtId="0" fontId="0" fillId="0" borderId="13" xfId="0" applyBorder="1" applyProtection="1"/>
    <xf numFmtId="0" fontId="0" fillId="0" borderId="4" xfId="0" applyBorder="1" applyProtection="1"/>
    <xf numFmtId="0" fontId="0" fillId="0" borderId="14" xfId="0" applyBorder="1" applyProtection="1"/>
    <xf numFmtId="0" fontId="19" fillId="0" borderId="0" xfId="0" applyFont="1" applyFill="1" applyBorder="1" applyAlignment="1" applyProtection="1">
      <alignment vertical="top"/>
    </xf>
    <xf numFmtId="49" fontId="36" fillId="0" borderId="1" xfId="0" applyNumberFormat="1" applyFont="1" applyBorder="1" applyAlignment="1">
      <alignment horizontal="center" vertical="center"/>
    </xf>
    <xf numFmtId="165" fontId="32" fillId="0" borderId="1" xfId="0" applyNumberFormat="1" applyFont="1" applyBorder="1" applyAlignment="1">
      <alignment horizontal="center" vertical="center"/>
    </xf>
    <xf numFmtId="164" fontId="0" fillId="0" borderId="1" xfId="0" applyNumberFormat="1" applyFill="1" applyBorder="1" applyAlignment="1">
      <alignment horizontal="center"/>
    </xf>
    <xf numFmtId="0" fontId="0" fillId="0" borderId="0" xfId="0" applyAlignment="1" applyProtection="1">
      <alignment horizontal="left"/>
    </xf>
    <xf numFmtId="0" fontId="27" fillId="0" borderId="0" xfId="0" applyFont="1" applyFill="1" applyBorder="1" applyAlignment="1">
      <alignment vertical="top" wrapText="1"/>
    </xf>
    <xf numFmtId="0" fontId="10" fillId="0" borderId="8" xfId="0" applyFont="1" applyBorder="1" applyAlignment="1" applyProtection="1">
      <alignment vertical="center"/>
    </xf>
    <xf numFmtId="0" fontId="27" fillId="0" borderId="0" xfId="0" applyFont="1" applyFill="1" applyBorder="1" applyAlignment="1">
      <alignment horizontal="left" vertical="top" wrapText="1"/>
    </xf>
    <xf numFmtId="0" fontId="23" fillId="0" borderId="0" xfId="0" applyFont="1" applyBorder="1"/>
    <xf numFmtId="0" fontId="27" fillId="0" borderId="0" xfId="0" applyFont="1" applyFill="1" applyBorder="1"/>
    <xf numFmtId="0" fontId="28" fillId="0" borderId="0" xfId="0" applyFont="1" applyFill="1" applyBorder="1" applyAlignment="1">
      <alignment horizontal="left" vertical="top" wrapText="1"/>
    </xf>
    <xf numFmtId="0" fontId="0" fillId="0" borderId="19" xfId="0" applyBorder="1"/>
    <xf numFmtId="0" fontId="0" fillId="0" borderId="7" xfId="0" applyBorder="1"/>
    <xf numFmtId="0" fontId="0" fillId="0" borderId="0" xfId="0" applyProtection="1"/>
    <xf numFmtId="0" fontId="12" fillId="0" borderId="1" xfId="0" applyFont="1" applyFill="1" applyBorder="1" applyAlignment="1" applyProtection="1">
      <alignment horizontal="center" vertical="center"/>
    </xf>
    <xf numFmtId="0" fontId="12" fillId="0" borderId="1" xfId="0" applyFont="1" applyBorder="1" applyAlignment="1" applyProtection="1">
      <alignment vertical="center"/>
    </xf>
    <xf numFmtId="2" fontId="12" fillId="0" borderId="1" xfId="0" applyNumberFormat="1" applyFont="1" applyFill="1" applyBorder="1" applyAlignment="1" applyProtection="1">
      <alignment horizontal="center" vertical="center"/>
    </xf>
    <xf numFmtId="3" fontId="12" fillId="0" borderId="1" xfId="0" applyNumberFormat="1" applyFont="1" applyFill="1" applyBorder="1" applyAlignment="1" applyProtection="1">
      <alignment horizontal="center" vertical="center"/>
    </xf>
    <xf numFmtId="4" fontId="12" fillId="0" borderId="1" xfId="0" applyNumberFormat="1" applyFont="1" applyFill="1" applyBorder="1" applyAlignment="1" applyProtection="1">
      <alignment horizontal="center" vertical="center"/>
    </xf>
    <xf numFmtId="0" fontId="10" fillId="0" borderId="11" xfId="0" applyFont="1" applyBorder="1" applyAlignment="1" applyProtection="1">
      <alignment vertical="center"/>
    </xf>
    <xf numFmtId="0" fontId="10" fillId="0" borderId="0" xfId="0" applyFont="1" applyBorder="1" applyAlignment="1" applyProtection="1">
      <alignment vertical="center"/>
    </xf>
    <xf numFmtId="0" fontId="10" fillId="0" borderId="12" xfId="0" applyFont="1" applyBorder="1" applyAlignment="1" applyProtection="1">
      <alignment vertical="center"/>
    </xf>
    <xf numFmtId="0" fontId="18" fillId="0" borderId="11" xfId="0" applyFont="1" applyBorder="1" applyAlignment="1" applyProtection="1">
      <alignment vertical="center"/>
    </xf>
    <xf numFmtId="0" fontId="18" fillId="0" borderId="0" xfId="0" applyFont="1" applyBorder="1" applyAlignment="1" applyProtection="1">
      <alignment vertical="center"/>
    </xf>
    <xf numFmtId="0" fontId="18" fillId="0" borderId="12" xfId="0" applyFont="1" applyBorder="1" applyAlignment="1" applyProtection="1">
      <alignment vertical="center"/>
    </xf>
    <xf numFmtId="165" fontId="36" fillId="0" borderId="1" xfId="0" applyNumberFormat="1" applyFont="1" applyBorder="1" applyAlignment="1">
      <alignment horizontal="center" vertical="center"/>
    </xf>
    <xf numFmtId="0" fontId="13" fillId="7" borderId="1" xfId="0" applyFont="1" applyFill="1" applyBorder="1" applyAlignment="1" applyProtection="1">
      <alignment horizontal="center" vertical="center"/>
    </xf>
    <xf numFmtId="0" fontId="0" fillId="0" borderId="0" xfId="0" applyBorder="1" applyAlignment="1" applyProtection="1">
      <alignment horizontal="center" vertical="center"/>
    </xf>
    <xf numFmtId="0" fontId="12" fillId="0" borderId="1" xfId="0" applyFont="1" applyBorder="1" applyAlignment="1" applyProtection="1">
      <alignment horizontal="right" vertical="center" wrapText="1"/>
    </xf>
    <xf numFmtId="0" fontId="0" fillId="0" borderId="0" xfId="0"/>
    <xf numFmtId="0" fontId="33" fillId="7" borderId="1" xfId="0" applyFont="1" applyFill="1" applyBorder="1" applyAlignment="1" applyProtection="1">
      <alignment horizontal="center" vertical="center"/>
    </xf>
    <xf numFmtId="0" fontId="13" fillId="7" borderId="2" xfId="0" applyFont="1" applyFill="1" applyBorder="1" applyAlignment="1" applyProtection="1">
      <alignment horizontal="center" vertical="center"/>
    </xf>
    <xf numFmtId="0" fontId="12" fillId="2" borderId="2"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12" fillId="2" borderId="6" xfId="0" applyFont="1" applyFill="1" applyBorder="1" applyAlignment="1" applyProtection="1">
      <alignment vertical="center"/>
    </xf>
    <xf numFmtId="0" fontId="12" fillId="2" borderId="6" xfId="0" applyFont="1" applyFill="1" applyBorder="1" applyAlignment="1" applyProtection="1">
      <alignment horizontal="left" vertical="center"/>
    </xf>
    <xf numFmtId="0" fontId="10" fillId="0" borderId="0" xfId="0" applyFont="1" applyFill="1" applyAlignment="1" applyProtection="1">
      <alignment vertical="center"/>
    </xf>
    <xf numFmtId="0" fontId="0" fillId="0" borderId="1" xfId="0" applyBorder="1" applyAlignment="1">
      <alignment horizontal="left"/>
    </xf>
    <xf numFmtId="0" fontId="45" fillId="0" borderId="1" xfId="0" applyFont="1" applyBorder="1" applyAlignment="1">
      <alignment horizontal="left"/>
    </xf>
    <xf numFmtId="164" fontId="12" fillId="0" borderId="1" xfId="0" applyNumberFormat="1" applyFont="1" applyFill="1" applyBorder="1" applyAlignment="1" applyProtection="1">
      <alignment horizontal="center" vertical="center"/>
    </xf>
    <xf numFmtId="0" fontId="0" fillId="0" borderId="0" xfId="0" applyAlignment="1" applyProtection="1">
      <alignment horizontal="center"/>
    </xf>
    <xf numFmtId="0" fontId="0" fillId="0" borderId="1" xfId="0" applyBorder="1"/>
    <xf numFmtId="0" fontId="0" fillId="0" borderId="1" xfId="0" applyBorder="1" applyAlignment="1" applyProtection="1">
      <alignment horizontal="center"/>
    </xf>
    <xf numFmtId="0" fontId="1" fillId="0" borderId="1" xfId="0" applyFont="1" applyBorder="1" applyAlignment="1">
      <alignment horizontal="center" wrapText="1"/>
    </xf>
    <xf numFmtId="0" fontId="1" fillId="0" borderId="1" xfId="0" applyFont="1" applyBorder="1" applyAlignment="1" applyProtection="1">
      <alignment horizontal="center"/>
    </xf>
    <xf numFmtId="3" fontId="0" fillId="0" borderId="0" xfId="0" applyNumberFormat="1" applyProtection="1"/>
    <xf numFmtId="1" fontId="0" fillId="0" borderId="0" xfId="0" applyNumberFormat="1" applyProtection="1"/>
    <xf numFmtId="0" fontId="12" fillId="2" borderId="3" xfId="0" applyFont="1" applyFill="1" applyBorder="1" applyAlignment="1" applyProtection="1">
      <alignment horizontal="left" vertical="center"/>
    </xf>
    <xf numFmtId="0" fontId="10" fillId="0" borderId="13" xfId="0" applyFont="1" applyBorder="1" applyAlignment="1" applyProtection="1">
      <alignment vertical="center"/>
    </xf>
    <xf numFmtId="0" fontId="10" fillId="0" borderId="4" xfId="0" applyFont="1" applyBorder="1" applyAlignment="1" applyProtection="1">
      <alignment vertical="center"/>
    </xf>
    <xf numFmtId="0" fontId="10" fillId="0" borderId="14" xfId="0" applyFont="1" applyBorder="1" applyAlignment="1" applyProtection="1">
      <alignment vertical="center"/>
    </xf>
    <xf numFmtId="0" fontId="12" fillId="0" borderId="1" xfId="0" applyFont="1" applyFill="1" applyBorder="1" applyAlignment="1" applyProtection="1">
      <alignment horizontal="right" vertical="center" wrapText="1"/>
    </xf>
    <xf numFmtId="0" fontId="0" fillId="0" borderId="8" xfId="0" applyBorder="1" applyProtection="1"/>
    <xf numFmtId="0" fontId="0" fillId="0" borderId="9" xfId="0" applyBorder="1" applyProtection="1"/>
    <xf numFmtId="0" fontId="0" fillId="0" borderId="10" xfId="0" applyBorder="1" applyProtection="1"/>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4" fillId="0" borderId="0" xfId="0" applyFont="1" applyFill="1" applyBorder="1" applyAlignment="1" applyProtection="1">
      <alignment horizontal="left"/>
    </xf>
    <xf numFmtId="0" fontId="46" fillId="0" borderId="0" xfId="0" applyFont="1" applyProtection="1"/>
    <xf numFmtId="0" fontId="12" fillId="0" borderId="1" xfId="0" applyNumberFormat="1" applyFont="1" applyFill="1" applyBorder="1" applyAlignment="1" applyProtection="1">
      <alignment horizontal="center" vertical="center"/>
    </xf>
    <xf numFmtId="0" fontId="46" fillId="0" borderId="0" xfId="0" applyFont="1" applyBorder="1" applyAlignment="1" applyProtection="1">
      <alignment horizontal="left"/>
    </xf>
    <xf numFmtId="0" fontId="10" fillId="0" borderId="0" xfId="0" applyFont="1" applyBorder="1" applyProtection="1"/>
    <xf numFmtId="3" fontId="12" fillId="8" borderId="1" xfId="0" applyNumberFormat="1" applyFont="1" applyFill="1" applyBorder="1" applyAlignment="1" applyProtection="1">
      <alignment horizontal="center" vertical="center" wrapText="1"/>
    </xf>
    <xf numFmtId="1" fontId="12" fillId="8" borderId="1" xfId="0" applyNumberFormat="1" applyFont="1" applyFill="1" applyBorder="1" applyAlignment="1" applyProtection="1">
      <alignment horizontal="center" vertical="center"/>
    </xf>
    <xf numFmtId="0" fontId="12" fillId="2" borderId="2" xfId="0" applyFont="1" applyFill="1" applyBorder="1" applyAlignment="1" applyProtection="1">
      <alignment vertical="center"/>
    </xf>
    <xf numFmtId="0" fontId="1" fillId="0" borderId="36" xfId="0" applyFont="1" applyBorder="1" applyAlignment="1">
      <alignment horizontal="center" wrapText="1"/>
    </xf>
    <xf numFmtId="0" fontId="1" fillId="0" borderId="37" xfId="0" applyFont="1" applyBorder="1" applyAlignment="1">
      <alignment horizontal="center" wrapText="1"/>
    </xf>
    <xf numFmtId="0" fontId="45" fillId="0" borderId="36" xfId="0" applyFont="1" applyBorder="1" applyAlignment="1">
      <alignment horizontal="left"/>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 fillId="0" borderId="41" xfId="0" applyFont="1" applyBorder="1" applyAlignment="1">
      <alignment horizontal="center" wrapText="1"/>
    </xf>
    <xf numFmtId="0" fontId="0" fillId="0" borderId="42" xfId="0" applyBorder="1" applyAlignment="1">
      <alignment horizontal="center"/>
    </xf>
    <xf numFmtId="0" fontId="0" fillId="0" borderId="43" xfId="0"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wrapText="1"/>
    </xf>
    <xf numFmtId="0" fontId="0" fillId="0" borderId="36" xfId="0" applyBorder="1" applyAlignment="1">
      <alignment horizontal="center"/>
    </xf>
    <xf numFmtId="0" fontId="0" fillId="0" borderId="44" xfId="0" applyBorder="1"/>
    <xf numFmtId="0" fontId="0" fillId="0" borderId="46" xfId="0" applyBorder="1"/>
    <xf numFmtId="0" fontId="0" fillId="0" borderId="45" xfId="0" applyBorder="1"/>
    <xf numFmtId="0" fontId="0" fillId="0" borderId="36" xfId="0" applyBorder="1"/>
    <xf numFmtId="0" fontId="0" fillId="0" borderId="37" xfId="0" applyBorder="1"/>
    <xf numFmtId="0" fontId="1" fillId="0" borderId="39" xfId="0" applyFont="1" applyBorder="1" applyAlignment="1" applyProtection="1">
      <alignment horizontal="center"/>
    </xf>
    <xf numFmtId="0" fontId="0" fillId="0" borderId="39" xfId="0" applyBorder="1" applyAlignment="1" applyProtection="1">
      <alignment horizontal="center"/>
    </xf>
    <xf numFmtId="3" fontId="12" fillId="9" borderId="1" xfId="0" applyNumberFormat="1" applyFont="1" applyFill="1" applyBorder="1" applyAlignment="1" applyProtection="1">
      <alignment horizontal="center" vertical="center"/>
      <protection locked="0"/>
    </xf>
    <xf numFmtId="3" fontId="12" fillId="9" borderId="1"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0" fontId="12" fillId="10" borderId="1" xfId="0" applyNumberFormat="1" applyFont="1" applyFill="1" applyBorder="1" applyAlignment="1" applyProtection="1">
      <alignment horizontal="center" vertical="center"/>
    </xf>
    <xf numFmtId="3" fontId="12" fillId="10" borderId="1" xfId="0" applyNumberFormat="1" applyFont="1" applyFill="1" applyBorder="1" applyAlignment="1" applyProtection="1">
      <alignment horizontal="center" vertical="center"/>
    </xf>
    <xf numFmtId="166" fontId="12" fillId="9" borderId="1" xfId="0" applyNumberFormat="1" applyFont="1" applyFill="1" applyBorder="1" applyAlignment="1" applyProtection="1">
      <alignment horizontal="center" vertical="center"/>
      <protection locked="0"/>
    </xf>
    <xf numFmtId="0" fontId="12" fillId="9" borderId="1" xfId="0" applyNumberFormat="1" applyFont="1" applyFill="1" applyBorder="1" applyAlignment="1" applyProtection="1">
      <alignment horizontal="center" vertical="center" wrapText="1"/>
      <protection locked="0"/>
    </xf>
    <xf numFmtId="0" fontId="12" fillId="9" borderId="1" xfId="0" applyNumberFormat="1" applyFont="1" applyFill="1" applyBorder="1" applyAlignment="1" applyProtection="1">
      <alignment horizontal="center" vertical="center"/>
      <protection locked="0"/>
    </xf>
    <xf numFmtId="4" fontId="12" fillId="9" borderId="1" xfId="0" applyNumberFormat="1" applyFont="1" applyFill="1" applyBorder="1" applyAlignment="1" applyProtection="1">
      <alignment horizontal="center" vertical="center"/>
      <protection locked="0"/>
    </xf>
    <xf numFmtId="49" fontId="12" fillId="9" borderId="1" xfId="0" applyNumberFormat="1" applyFont="1" applyFill="1" applyBorder="1" applyAlignment="1" applyProtection="1">
      <alignment horizontal="center" vertical="center"/>
      <protection locked="0"/>
    </xf>
    <xf numFmtId="4" fontId="12" fillId="10" borderId="1" xfId="0" applyNumberFormat="1" applyFont="1" applyFill="1" applyBorder="1" applyAlignment="1" applyProtection="1">
      <alignment horizontal="center" vertical="center"/>
    </xf>
    <xf numFmtId="0" fontId="12" fillId="2" borderId="6" xfId="0" applyFont="1" applyFill="1" applyBorder="1" applyAlignment="1" applyProtection="1">
      <alignment horizontal="left" vertical="center" wrapText="1"/>
    </xf>
    <xf numFmtId="0" fontId="12" fillId="2" borderId="3" xfId="0" applyFont="1" applyFill="1" applyBorder="1" applyAlignment="1" applyProtection="1">
      <alignment vertical="center" wrapText="1"/>
    </xf>
    <xf numFmtId="0" fontId="45" fillId="0" borderId="50" xfId="0" applyFont="1" applyBorder="1" applyAlignment="1">
      <alignment horizontal="left"/>
    </xf>
    <xf numFmtId="0" fontId="0" fillId="0" borderId="2" xfId="0" applyBorder="1" applyAlignment="1">
      <alignment horizontal="left"/>
    </xf>
    <xf numFmtId="0" fontId="45" fillId="0" borderId="2" xfId="0" applyFont="1" applyBorder="1" applyAlignment="1">
      <alignment horizontal="left"/>
    </xf>
    <xf numFmtId="0" fontId="0" fillId="0" borderId="2" xfId="0" applyBorder="1" applyAlignment="1">
      <alignment horizontal="center"/>
    </xf>
    <xf numFmtId="0" fontId="0" fillId="0" borderId="51" xfId="0" applyBorder="1" applyAlignment="1">
      <alignment horizontal="center"/>
    </xf>
    <xf numFmtId="49" fontId="32" fillId="0" borderId="0" xfId="0" applyNumberFormat="1" applyFont="1" applyBorder="1" applyAlignment="1">
      <alignment horizontal="center" vertical="center"/>
    </xf>
    <xf numFmtId="165" fontId="32" fillId="0" borderId="0" xfId="0" applyNumberFormat="1" applyFont="1" applyBorder="1" applyAlignment="1">
      <alignment horizontal="center" vertical="center"/>
    </xf>
    <xf numFmtId="0" fontId="38" fillId="0" borderId="0" xfId="22" applyFont="1" applyFill="1" applyBorder="1" applyAlignment="1">
      <alignment vertical="top" wrapText="1"/>
    </xf>
    <xf numFmtId="49" fontId="28" fillId="0" borderId="0" xfId="0" applyNumberFormat="1" applyFont="1" applyFill="1" applyBorder="1" applyAlignment="1">
      <alignment horizontal="left" vertical="top" wrapText="1"/>
    </xf>
    <xf numFmtId="0" fontId="24" fillId="0" borderId="0" xfId="0" applyFont="1" applyBorder="1" applyAlignment="1">
      <alignment horizontal="left" vertical="top" wrapText="1"/>
    </xf>
    <xf numFmtId="0" fontId="31" fillId="7" borderId="1" xfId="0" applyFont="1" applyFill="1" applyBorder="1" applyAlignment="1">
      <alignment horizontal="center" vertical="center"/>
    </xf>
    <xf numFmtId="0" fontId="10" fillId="0" borderId="0" xfId="0" applyFont="1" applyAlignment="1" applyProtection="1">
      <alignment horizontal="left" vertical="top" wrapText="1"/>
    </xf>
    <xf numFmtId="49" fontId="28" fillId="0" borderId="0" xfId="0" applyNumberFormat="1" applyFont="1" applyFill="1" applyBorder="1" applyAlignment="1">
      <alignment horizontal="left" vertical="top" wrapText="1"/>
    </xf>
    <xf numFmtId="0" fontId="32" fillId="0" borderId="0" xfId="0" applyFont="1" applyBorder="1" applyAlignment="1">
      <alignment horizontal="left" vertical="center" wrapText="1"/>
    </xf>
    <xf numFmtId="0" fontId="31" fillId="7" borderId="1" xfId="0" applyFont="1" applyFill="1" applyBorder="1" applyAlignment="1">
      <alignment horizontal="center" vertical="center"/>
    </xf>
    <xf numFmtId="0" fontId="24" fillId="0" borderId="0" xfId="0" applyFont="1" applyBorder="1" applyAlignment="1">
      <alignment horizontal="justify" vertical="top" wrapText="1"/>
    </xf>
    <xf numFmtId="0" fontId="30" fillId="0" borderId="4" xfId="0" applyFont="1" applyBorder="1" applyAlignment="1">
      <alignment horizontal="center"/>
    </xf>
    <xf numFmtId="0" fontId="32" fillId="0" borderId="1" xfId="0" applyFont="1" applyBorder="1" applyAlignment="1">
      <alignment horizontal="left" vertical="center" wrapText="1"/>
    </xf>
    <xf numFmtId="0" fontId="36" fillId="0" borderId="5" xfId="0" applyFont="1" applyBorder="1" applyAlignment="1">
      <alignment horizontal="left" vertical="top" wrapText="1"/>
    </xf>
    <xf numFmtId="0" fontId="39" fillId="0" borderId="24" xfId="0" applyFont="1" applyBorder="1" applyAlignment="1">
      <alignment horizontal="left" vertical="top" wrapText="1"/>
    </xf>
    <xf numFmtId="0" fontId="39" fillId="0" borderId="16" xfId="0" applyFont="1" applyBorder="1" applyAlignment="1">
      <alignment horizontal="left" vertical="top" wrapText="1"/>
    </xf>
    <xf numFmtId="0" fontId="24" fillId="0" borderId="0" xfId="0" applyFont="1" applyBorder="1" applyAlignment="1">
      <alignment horizontal="left" vertical="top" wrapText="1"/>
    </xf>
    <xf numFmtId="0" fontId="22" fillId="0" borderId="20" xfId="0" applyFont="1" applyBorder="1" applyAlignment="1">
      <alignment horizontal="center"/>
    </xf>
    <xf numFmtId="0" fontId="41" fillId="0" borderId="0" xfId="0" applyFont="1" applyBorder="1" applyAlignment="1">
      <alignment horizontal="center"/>
    </xf>
    <xf numFmtId="0" fontId="28" fillId="0" borderId="0" xfId="0" applyFont="1" applyFill="1" applyBorder="1" applyAlignment="1">
      <alignment horizontal="justify" vertical="top" wrapText="1"/>
    </xf>
    <xf numFmtId="0" fontId="27" fillId="0" borderId="0" xfId="0" applyFont="1" applyFill="1" applyBorder="1" applyAlignment="1">
      <alignment horizontal="justify" vertical="top" wrapText="1"/>
    </xf>
    <xf numFmtId="0" fontId="38" fillId="0" borderId="0" xfId="22" applyFont="1" applyFill="1" applyBorder="1" applyAlignment="1">
      <alignment vertical="top" wrapText="1"/>
    </xf>
    <xf numFmtId="0" fontId="20" fillId="7" borderId="8" xfId="0" applyFont="1" applyFill="1" applyBorder="1" applyAlignment="1" applyProtection="1">
      <alignment horizontal="center" vertical="center"/>
    </xf>
    <xf numFmtId="0" fontId="20" fillId="7" borderId="9" xfId="0" applyFont="1" applyFill="1" applyBorder="1" applyAlignment="1" applyProtection="1">
      <alignment horizontal="center" vertical="center"/>
    </xf>
    <xf numFmtId="0" fontId="20" fillId="7" borderId="10" xfId="0" applyFont="1" applyFill="1" applyBorder="1" applyAlignment="1" applyProtection="1">
      <alignment horizontal="center" vertical="center"/>
    </xf>
    <xf numFmtId="0" fontId="11" fillId="0" borderId="11"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xf>
    <xf numFmtId="0" fontId="11" fillId="0" borderId="13"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1" fillId="0" borderId="14" xfId="0" applyFont="1" applyFill="1" applyBorder="1" applyAlignment="1" applyProtection="1">
      <alignment horizontal="left" vertical="top" wrapText="1"/>
    </xf>
    <xf numFmtId="0" fontId="29" fillId="0" borderId="5" xfId="0" applyFont="1" applyFill="1" applyBorder="1" applyAlignment="1" applyProtection="1">
      <alignment horizontal="center"/>
    </xf>
    <xf numFmtId="0" fontId="29" fillId="0" borderId="24" xfId="0" applyFont="1" applyFill="1" applyBorder="1" applyAlignment="1" applyProtection="1">
      <alignment horizontal="center"/>
    </xf>
    <xf numFmtId="0" fontId="29" fillId="0" borderId="16" xfId="0" applyFont="1" applyFill="1" applyBorder="1" applyAlignment="1" applyProtection="1">
      <alignment horizontal="center"/>
    </xf>
    <xf numFmtId="0" fontId="13" fillId="7" borderId="2"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6" fillId="0" borderId="8" xfId="0" applyFont="1" applyBorder="1" applyAlignment="1" applyProtection="1">
      <alignment horizontal="left" wrapText="1"/>
    </xf>
    <xf numFmtId="0" fontId="16" fillId="0" borderId="9" xfId="0" applyFont="1" applyBorder="1" applyAlignment="1" applyProtection="1">
      <alignment horizontal="left" wrapText="1"/>
    </xf>
    <xf numFmtId="0" fontId="16" fillId="0" borderId="10" xfId="0" applyFont="1" applyBorder="1" applyAlignment="1" applyProtection="1">
      <alignment horizontal="left" wrapText="1"/>
    </xf>
    <xf numFmtId="0" fontId="29" fillId="0" borderId="5" xfId="0" applyFont="1" applyBorder="1" applyAlignment="1" applyProtection="1">
      <alignment horizontal="center"/>
    </xf>
    <xf numFmtId="0" fontId="29" fillId="0" borderId="24" xfId="0" applyFont="1" applyBorder="1" applyAlignment="1" applyProtection="1">
      <alignment horizontal="center"/>
    </xf>
    <xf numFmtId="0" fontId="29" fillId="0" borderId="16" xfId="0" applyFont="1" applyBorder="1" applyAlignment="1" applyProtection="1">
      <alignment horizontal="center"/>
    </xf>
    <xf numFmtId="0" fontId="44" fillId="0" borderId="11"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wrapText="1"/>
    </xf>
    <xf numFmtId="0" fontId="44" fillId="0" borderId="12" xfId="0"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44" fillId="0" borderId="32" xfId="0" applyFont="1" applyFill="1" applyBorder="1" applyAlignment="1" applyProtection="1">
      <alignment horizontal="left" vertical="center" wrapText="1"/>
    </xf>
    <xf numFmtId="0" fontId="44" fillId="0" borderId="31" xfId="0" applyFont="1" applyFill="1" applyBorder="1" applyAlignment="1" applyProtection="1">
      <alignment horizontal="left" vertical="center" wrapText="1"/>
    </xf>
    <xf numFmtId="0" fontId="44" fillId="0" borderId="30" xfId="0" applyFont="1" applyFill="1" applyBorder="1" applyAlignment="1" applyProtection="1">
      <alignment horizontal="left" vertical="center" wrapText="1"/>
    </xf>
    <xf numFmtId="0" fontId="44" fillId="0" borderId="28" xfId="0" applyFont="1" applyFill="1" applyBorder="1" applyAlignment="1" applyProtection="1">
      <alignment horizontal="left" vertical="center" wrapText="1"/>
    </xf>
    <xf numFmtId="0" fontId="44" fillId="0" borderId="15" xfId="0" applyFont="1" applyFill="1" applyBorder="1" applyAlignment="1" applyProtection="1">
      <alignment horizontal="left" vertical="center" wrapText="1"/>
    </xf>
    <xf numFmtId="0" fontId="44" fillId="0" borderId="29" xfId="0" applyFont="1" applyFill="1" applyBorder="1" applyAlignment="1" applyProtection="1">
      <alignment horizontal="left" vertical="center" wrapText="1"/>
    </xf>
    <xf numFmtId="0" fontId="44" fillId="0" borderId="13" xfId="0" applyFont="1" applyFill="1" applyBorder="1" applyAlignment="1" applyProtection="1">
      <alignment horizontal="left" vertical="center" wrapText="1"/>
    </xf>
    <xf numFmtId="0" fontId="44" fillId="0" borderId="4" xfId="0" applyFont="1" applyFill="1" applyBorder="1" applyAlignment="1" applyProtection="1">
      <alignment horizontal="left" vertical="center" wrapText="1"/>
    </xf>
    <xf numFmtId="0" fontId="44" fillId="0" borderId="14" xfId="0" applyFont="1" applyFill="1" applyBorder="1" applyAlignment="1" applyProtection="1">
      <alignment horizontal="left" vertical="center" wrapText="1"/>
    </xf>
    <xf numFmtId="0" fontId="43" fillId="0" borderId="26" xfId="0" applyFont="1" applyFill="1" applyBorder="1" applyAlignment="1" applyProtection="1">
      <alignment horizontal="left" vertical="center" wrapText="1"/>
    </xf>
    <xf numFmtId="0" fontId="43" fillId="0" borderId="25" xfId="0" applyFont="1" applyFill="1" applyBorder="1" applyAlignment="1" applyProtection="1">
      <alignment horizontal="left" vertical="center" wrapText="1"/>
    </xf>
    <xf numFmtId="0" fontId="43" fillId="0" borderId="27" xfId="0" applyFont="1" applyFill="1" applyBorder="1" applyAlignment="1" applyProtection="1">
      <alignment horizontal="left" vertical="center" wrapText="1"/>
    </xf>
    <xf numFmtId="0" fontId="44" fillId="0" borderId="47" xfId="0" applyFont="1" applyFill="1" applyBorder="1" applyAlignment="1" applyProtection="1">
      <alignment horizontal="left" vertical="center" wrapText="1"/>
    </xf>
    <xf numFmtId="0" fontId="44" fillId="0" borderId="48" xfId="0" applyFont="1" applyFill="1" applyBorder="1" applyAlignment="1" applyProtection="1">
      <alignment horizontal="left" vertical="center" wrapText="1"/>
    </xf>
    <xf numFmtId="0" fontId="44" fillId="0" borderId="49" xfId="0" applyFont="1" applyFill="1" applyBorder="1" applyAlignment="1" applyProtection="1">
      <alignment horizontal="left" vertical="center" wrapText="1"/>
    </xf>
    <xf numFmtId="0" fontId="29" fillId="0" borderId="5"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11" fillId="0" borderId="11" xfId="0" applyFont="1" applyBorder="1" applyAlignment="1" applyProtection="1">
      <alignment horizontal="left" wrapText="1"/>
    </xf>
    <xf numFmtId="0" fontId="11" fillId="0" borderId="0" xfId="0" applyFont="1" applyBorder="1" applyAlignment="1" applyProtection="1">
      <alignment horizontal="left" wrapText="1"/>
    </xf>
    <xf numFmtId="0" fontId="11" fillId="0" borderId="12" xfId="0" applyFont="1" applyBorder="1" applyAlignment="1" applyProtection="1">
      <alignment horizontal="left" wrapText="1"/>
    </xf>
    <xf numFmtId="0" fontId="1" fillId="0" borderId="36" xfId="0" applyFont="1" applyBorder="1" applyAlignment="1">
      <alignment horizontal="center" textRotation="90" wrapText="1"/>
    </xf>
    <xf numFmtId="0" fontId="1" fillId="0" borderId="38" xfId="0" applyFont="1" applyBorder="1" applyAlignment="1">
      <alignment horizontal="center" textRotation="90" wrapText="1"/>
    </xf>
    <xf numFmtId="0" fontId="1" fillId="0" borderId="46" xfId="0" applyFont="1" applyFill="1" applyBorder="1" applyAlignment="1">
      <alignment horizontal="center" wrapText="1"/>
    </xf>
    <xf numFmtId="0" fontId="1" fillId="0" borderId="37" xfId="0" applyFont="1" applyBorder="1" applyAlignment="1">
      <alignment horizontal="center" textRotation="90" wrapText="1"/>
    </xf>
    <xf numFmtId="0" fontId="1" fillId="0" borderId="40" xfId="0" applyFont="1" applyBorder="1" applyAlignment="1">
      <alignment horizontal="center" textRotation="90" wrapText="1"/>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cellXfs>
  <cellStyles count="26">
    <cellStyle name="Hyperlink" xfId="22" builtinId="8"/>
    <cellStyle name="Normal" xfId="0" builtinId="0"/>
    <cellStyle name="Normal 10" xfId="1" xr:uid="{00000000-0005-0000-0000-000002000000}"/>
    <cellStyle name="Normal 10 2" xfId="17" xr:uid="{00000000-0005-0000-0000-000003000000}"/>
    <cellStyle name="Normal 10 2 2" xfId="21" xr:uid="{00000000-0005-0000-0000-000004000000}"/>
    <cellStyle name="Normal 10 2_Ref_Sliding Scale" xfId="23" xr:uid="{00000000-0005-0000-0000-000005000000}"/>
    <cellStyle name="Normal 2" xfId="2" xr:uid="{00000000-0005-0000-0000-000006000000}"/>
    <cellStyle name="Normal 2 2" xfId="3" xr:uid="{00000000-0005-0000-0000-000007000000}"/>
    <cellStyle name="Normal 2 3" xfId="4" xr:uid="{00000000-0005-0000-0000-000008000000}"/>
    <cellStyle name="Normal 2 4" xfId="5" xr:uid="{00000000-0005-0000-0000-000009000000}"/>
    <cellStyle name="Normal 2 5" xfId="6" xr:uid="{00000000-0005-0000-0000-00000A000000}"/>
    <cellStyle name="Normal 2 6" xfId="7" xr:uid="{00000000-0005-0000-0000-00000B000000}"/>
    <cellStyle name="Normal 2 7" xfId="16" xr:uid="{00000000-0005-0000-0000-00000C000000}"/>
    <cellStyle name="Normal 3" xfId="8" xr:uid="{00000000-0005-0000-0000-00000D000000}"/>
    <cellStyle name="Normal 3 2" xfId="18" xr:uid="{00000000-0005-0000-0000-00000E000000}"/>
    <cellStyle name="Normal 3_Ref_Sliding Scale" xfId="24" xr:uid="{00000000-0005-0000-0000-00000F000000}"/>
    <cellStyle name="Normal 4" xfId="9" xr:uid="{00000000-0005-0000-0000-000010000000}"/>
    <cellStyle name="Normal 5" xfId="10" xr:uid="{00000000-0005-0000-0000-000011000000}"/>
    <cellStyle name="Normal 6" xfId="11" xr:uid="{00000000-0005-0000-0000-000012000000}"/>
    <cellStyle name="Normal 7" xfId="12" xr:uid="{00000000-0005-0000-0000-000013000000}"/>
    <cellStyle name="Normal 8" xfId="13" xr:uid="{00000000-0005-0000-0000-000014000000}"/>
    <cellStyle name="Normal 8 2" xfId="19" xr:uid="{00000000-0005-0000-0000-000015000000}"/>
    <cellStyle name="Normal 8_Ref_Sliding Scale" xfId="25" xr:uid="{00000000-0005-0000-0000-000016000000}"/>
    <cellStyle name="Normal 9" xfId="14" xr:uid="{00000000-0005-0000-0000-000017000000}"/>
    <cellStyle name="Percent 2" xfId="15" xr:uid="{00000000-0005-0000-0000-000019000000}"/>
    <cellStyle name="Percent 2 2" xfId="20" xr:uid="{00000000-0005-0000-0000-00001A000000}"/>
  </cellStyles>
  <dxfs count="68">
    <dxf>
      <font>
        <color theme="0"/>
      </font>
    </dxf>
    <dxf>
      <font>
        <color theme="9" tint="-0.499984740745262"/>
      </font>
      <fill>
        <patternFill>
          <bgColor theme="9" tint="0.39994506668294322"/>
        </patternFill>
      </fill>
    </dxf>
    <dxf>
      <font>
        <color theme="9" tint="-0.499984740745262"/>
      </font>
      <fill>
        <patternFill>
          <bgColor theme="9" tint="0.39994506668294322"/>
        </patternFill>
      </fill>
    </dxf>
    <dxf>
      <font>
        <b val="0"/>
        <i val="0"/>
      </font>
      <fill>
        <patternFill>
          <bgColor theme="0" tint="-0.14996795556505021"/>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b val="0"/>
        <i val="0"/>
      </font>
      <fill>
        <patternFill>
          <bgColor theme="0" tint="-0.14996795556505021"/>
        </patternFill>
      </fill>
    </dxf>
    <dxf>
      <font>
        <color rgb="FFFF0000"/>
      </font>
    </dxf>
    <dxf>
      <font>
        <color rgb="FFFF0000"/>
      </font>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b val="0"/>
        <i val="0"/>
      </font>
      <fill>
        <patternFill>
          <bgColor theme="0" tint="-0.14996795556505021"/>
        </patternFill>
      </fill>
    </dxf>
    <dxf>
      <font>
        <color rgb="FFFF0000"/>
      </font>
    </dxf>
    <dxf>
      <font>
        <color rgb="FFFF0000"/>
      </font>
    </dxf>
    <dxf>
      <font>
        <color auto="1"/>
      </font>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0"/>
      </font>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auto="1"/>
      </font>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strike/>
      </font>
      <fill>
        <patternFill>
          <fgColor auto="1"/>
          <bgColor theme="0" tint="-0.14996795556505021"/>
        </patternFill>
      </fill>
    </dxf>
    <dxf>
      <font>
        <strike/>
      </font>
      <fill>
        <patternFill>
          <fgColor auto="1"/>
          <bgColor theme="0" tint="-0.14996795556505021"/>
        </patternFill>
      </fill>
    </dxf>
    <dxf>
      <font>
        <color auto="1"/>
      </font>
    </dxf>
    <dxf>
      <font>
        <color theme="0"/>
      </font>
    </dxf>
    <dxf>
      <font>
        <color theme="9" tint="-0.499984740745262"/>
      </font>
      <fill>
        <patternFill>
          <bgColor theme="9" tint="0.3999450666829432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strike/>
      </font>
      <fill>
        <patternFill>
          <fgColor auto="1"/>
          <bgColor theme="0" tint="-0.14996795556505021"/>
        </patternFill>
      </fill>
    </dxf>
  </dxfs>
  <tableStyles count="0" defaultTableStyle="TableStyleMedium2" defaultPivotStyle="PivotStyleLight16"/>
  <colors>
    <mruColors>
      <color rgb="FF0070C0"/>
      <color rgb="FFCCFFCC"/>
      <color rgb="FF00FF99"/>
      <color rgb="FFFFFFFF"/>
      <color rgb="FF99FFCC"/>
      <color rgb="FFCCFF99"/>
      <color rgb="FFFFFF99"/>
      <color rgb="FFFFFFCC"/>
      <color rgb="FFDAEEF3"/>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20</xdr:col>
      <xdr:colOff>285757</xdr:colOff>
      <xdr:row>0</xdr:row>
      <xdr:rowOff>41032</xdr:rowOff>
    </xdr:from>
    <xdr:to>
      <xdr:col>26</xdr:col>
      <xdr:colOff>11913</xdr:colOff>
      <xdr:row>10</xdr:row>
      <xdr:rowOff>1207844</xdr:rowOff>
    </xdr:to>
    <xdr:pic>
      <xdr:nvPicPr>
        <xdr:cNvPr id="3" name="Picture 2">
          <a:extLst>
            <a:ext uri="{FF2B5EF4-FFF2-40B4-BE49-F238E27FC236}">
              <a16:creationId xmlns:a16="http://schemas.microsoft.com/office/drawing/2014/main" id="{59DB5BFE-179F-4341-B4DD-999308DD19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4442289" y="660156"/>
          <a:ext cx="4607718" cy="3369469"/>
        </a:xfrm>
        <a:prstGeom prst="rect">
          <a:avLst/>
        </a:prstGeom>
      </xdr:spPr>
    </xdr:pic>
    <xdr:clientData/>
  </xdr:twoCellAnchor>
  <xdr:twoCellAnchor editAs="oneCell">
    <xdr:from>
      <xdr:col>20</xdr:col>
      <xdr:colOff>190500</xdr:colOff>
      <xdr:row>11</xdr:row>
      <xdr:rowOff>11908</xdr:rowOff>
    </xdr:from>
    <xdr:to>
      <xdr:col>27</xdr:col>
      <xdr:colOff>428624</xdr:colOff>
      <xdr:row>16</xdr:row>
      <xdr:rowOff>59532</xdr:rowOff>
    </xdr:to>
    <xdr:pic>
      <xdr:nvPicPr>
        <xdr:cNvPr id="5" name="Picture 4">
          <a:extLst>
            <a:ext uri="{FF2B5EF4-FFF2-40B4-BE49-F238E27FC236}">
              <a16:creationId xmlns:a16="http://schemas.microsoft.com/office/drawing/2014/main" id="{1327EF7E-E90E-4C50-938B-BF662D9249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66156" y="4976814"/>
          <a:ext cx="4488656" cy="3393281"/>
        </a:xfrm>
        <a:prstGeom prst="rect">
          <a:avLst/>
        </a:prstGeom>
      </xdr:spPr>
    </xdr:pic>
    <xdr:clientData/>
  </xdr:twoCellAnchor>
  <xdr:twoCellAnchor>
    <xdr:from>
      <xdr:col>20</xdr:col>
      <xdr:colOff>309565</xdr:colOff>
      <xdr:row>10</xdr:row>
      <xdr:rowOff>952499</xdr:rowOff>
    </xdr:from>
    <xdr:to>
      <xdr:col>22</xdr:col>
      <xdr:colOff>571502</xdr:colOff>
      <xdr:row>10</xdr:row>
      <xdr:rowOff>1393030</xdr:rowOff>
    </xdr:to>
    <xdr:sp macro="" textlink="">
      <xdr:nvSpPr>
        <xdr:cNvPr id="6" name="TextBox 5">
          <a:extLst>
            <a:ext uri="{FF2B5EF4-FFF2-40B4-BE49-F238E27FC236}">
              <a16:creationId xmlns:a16="http://schemas.microsoft.com/office/drawing/2014/main" id="{78076D76-BFE5-4311-BD22-93ADCEA2570C}"/>
            </a:ext>
          </a:extLst>
        </xdr:cNvPr>
        <xdr:cNvSpPr txBox="1"/>
      </xdr:nvSpPr>
      <xdr:spPr>
        <a:xfrm>
          <a:off x="15085221" y="4393405"/>
          <a:ext cx="1476375" cy="4405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rgbClr val="00B0F0"/>
              </a:solidFill>
              <a:effectLst/>
              <a:latin typeface="+mn-lt"/>
              <a:ea typeface="+mn-ea"/>
              <a:cs typeface="+mn-cs"/>
            </a:rPr>
            <a:t>Tree Well Schematic</a:t>
          </a:r>
          <a:endParaRPr lang="en-US">
            <a:solidFill>
              <a:srgbClr val="00B0F0"/>
            </a:solidFill>
            <a:effectLst/>
          </a:endParaRPr>
        </a:p>
        <a:p>
          <a:pPr algn="l"/>
          <a:r>
            <a:rPr lang="en-US" sz="1100" b="1">
              <a:solidFill>
                <a:srgbClr val="00B0F0"/>
              </a:solidFill>
            </a:rPr>
            <a:t>SD-A Tree Wells</a:t>
          </a:r>
        </a:p>
      </xdr:txBody>
    </xdr:sp>
    <xdr:clientData/>
  </xdr:twoCellAnchor>
  <xdr:twoCellAnchor>
    <xdr:from>
      <xdr:col>20</xdr:col>
      <xdr:colOff>297664</xdr:colOff>
      <xdr:row>14</xdr:row>
      <xdr:rowOff>154778</xdr:rowOff>
    </xdr:from>
    <xdr:to>
      <xdr:col>24</xdr:col>
      <xdr:colOff>11914</xdr:colOff>
      <xdr:row>16</xdr:row>
      <xdr:rowOff>190496</xdr:rowOff>
    </xdr:to>
    <xdr:sp macro="" textlink="">
      <xdr:nvSpPr>
        <xdr:cNvPr id="7" name="TextBox 6">
          <a:extLst>
            <a:ext uri="{FF2B5EF4-FFF2-40B4-BE49-F238E27FC236}">
              <a16:creationId xmlns:a16="http://schemas.microsoft.com/office/drawing/2014/main" id="{3EE3CE07-94BB-474F-9DC8-749DF0C944CF}"/>
            </a:ext>
          </a:extLst>
        </xdr:cNvPr>
        <xdr:cNvSpPr txBox="1"/>
      </xdr:nvSpPr>
      <xdr:spPr>
        <a:xfrm>
          <a:off x="15073320" y="8060528"/>
          <a:ext cx="2143125" cy="4405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rgbClr val="00B0F0"/>
              </a:solidFill>
              <a:effectLst/>
              <a:latin typeface="+mn-lt"/>
              <a:ea typeface="+mn-ea"/>
              <a:cs typeface="+mn-cs"/>
            </a:rPr>
            <a:t>Dispersion Area Schematic</a:t>
          </a:r>
          <a:endParaRPr lang="en-US" b="1">
            <a:solidFill>
              <a:srgbClr val="00B0F0"/>
            </a:solidFill>
            <a:effectLst/>
          </a:endParaRPr>
        </a:p>
        <a:p>
          <a:pPr algn="l"/>
          <a:r>
            <a:rPr lang="en-US" sz="1100" b="1">
              <a:solidFill>
                <a:srgbClr val="00B0F0"/>
              </a:solidFill>
            </a:rPr>
            <a:t>SD-B Impervious Area Dispersion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23812</xdr:colOff>
      <xdr:row>1</xdr:row>
      <xdr:rowOff>35720</xdr:rowOff>
    </xdr:from>
    <xdr:to>
      <xdr:col>36</xdr:col>
      <xdr:colOff>261937</xdr:colOff>
      <xdr:row>13</xdr:row>
      <xdr:rowOff>95251</xdr:rowOff>
    </xdr:to>
    <xdr:pic>
      <xdr:nvPicPr>
        <xdr:cNvPr id="2" name="Picture 1">
          <a:extLst>
            <a:ext uri="{FF2B5EF4-FFF2-40B4-BE49-F238E27FC236}">
              <a16:creationId xmlns:a16="http://schemas.microsoft.com/office/drawing/2014/main" id="{17A1E031-8597-414A-8842-CFF141626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18187" y="226220"/>
          <a:ext cx="4488656" cy="3393281"/>
        </a:xfrm>
        <a:prstGeom prst="rect">
          <a:avLst/>
        </a:prstGeom>
      </xdr:spPr>
    </xdr:pic>
    <xdr:clientData/>
  </xdr:twoCellAnchor>
  <xdr:twoCellAnchor>
    <xdr:from>
      <xdr:col>29</xdr:col>
      <xdr:colOff>107164</xdr:colOff>
      <xdr:row>11</xdr:row>
      <xdr:rowOff>428620</xdr:rowOff>
    </xdr:from>
    <xdr:to>
      <xdr:col>32</xdr:col>
      <xdr:colOff>428632</xdr:colOff>
      <xdr:row>13</xdr:row>
      <xdr:rowOff>190495</xdr:rowOff>
    </xdr:to>
    <xdr:sp macro="" textlink="">
      <xdr:nvSpPr>
        <xdr:cNvPr id="3" name="TextBox 2">
          <a:extLst>
            <a:ext uri="{FF2B5EF4-FFF2-40B4-BE49-F238E27FC236}">
              <a16:creationId xmlns:a16="http://schemas.microsoft.com/office/drawing/2014/main" id="{21833F16-89C9-4321-8FBA-2F2265B06A8E}"/>
            </a:ext>
          </a:extLst>
        </xdr:cNvPr>
        <xdr:cNvSpPr txBox="1"/>
      </xdr:nvSpPr>
      <xdr:spPr>
        <a:xfrm>
          <a:off x="17168820" y="3274214"/>
          <a:ext cx="2143125" cy="4405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rgbClr val="00B0F0"/>
              </a:solidFill>
              <a:effectLst/>
              <a:latin typeface="+mn-lt"/>
              <a:ea typeface="+mn-ea"/>
              <a:cs typeface="+mn-cs"/>
            </a:rPr>
            <a:t>Dispersion Area Schematic</a:t>
          </a:r>
          <a:endParaRPr lang="en-US" b="1">
            <a:solidFill>
              <a:srgbClr val="00B0F0"/>
            </a:solidFill>
            <a:effectLst/>
          </a:endParaRPr>
        </a:p>
        <a:p>
          <a:pPr algn="l"/>
          <a:r>
            <a:rPr lang="en-US" sz="1100" b="1">
              <a:solidFill>
                <a:srgbClr val="00B0F0"/>
              </a:solidFill>
            </a:rPr>
            <a:t>SD-B Impervious Area Dispersion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71443</xdr:colOff>
      <xdr:row>0</xdr:row>
      <xdr:rowOff>178595</xdr:rowOff>
    </xdr:from>
    <xdr:to>
      <xdr:col>34</xdr:col>
      <xdr:colOff>404818</xdr:colOff>
      <xdr:row>16</xdr:row>
      <xdr:rowOff>0</xdr:rowOff>
    </xdr:to>
    <xdr:pic>
      <xdr:nvPicPr>
        <xdr:cNvPr id="2" name="Picture 1">
          <a:extLst>
            <a:ext uri="{FF2B5EF4-FFF2-40B4-BE49-F238E27FC236}">
              <a16:creationId xmlns:a16="http://schemas.microsoft.com/office/drawing/2014/main" id="{52EB354C-4CF5-453E-8E5E-591B60C98A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8597569" y="797719"/>
          <a:ext cx="4607718" cy="3369469"/>
        </a:xfrm>
        <a:prstGeom prst="rect">
          <a:avLst/>
        </a:prstGeom>
      </xdr:spPr>
    </xdr:pic>
    <xdr:clientData/>
  </xdr:twoCellAnchor>
  <xdr:twoCellAnchor>
    <xdr:from>
      <xdr:col>29</xdr:col>
      <xdr:colOff>95251</xdr:colOff>
      <xdr:row>14</xdr:row>
      <xdr:rowOff>423312</xdr:rowOff>
    </xdr:from>
    <xdr:to>
      <xdr:col>31</xdr:col>
      <xdr:colOff>357188</xdr:colOff>
      <xdr:row>16</xdr:row>
      <xdr:rowOff>185186</xdr:rowOff>
    </xdr:to>
    <xdr:sp macro="" textlink="">
      <xdr:nvSpPr>
        <xdr:cNvPr id="3" name="TextBox 2">
          <a:extLst>
            <a:ext uri="{FF2B5EF4-FFF2-40B4-BE49-F238E27FC236}">
              <a16:creationId xmlns:a16="http://schemas.microsoft.com/office/drawing/2014/main" id="{7EC3FC81-B7A2-47D5-BFB2-1F03717CA9C8}"/>
            </a:ext>
          </a:extLst>
        </xdr:cNvPr>
        <xdr:cNvSpPr txBox="1"/>
      </xdr:nvSpPr>
      <xdr:spPr>
        <a:xfrm>
          <a:off x="19240501" y="4530968"/>
          <a:ext cx="1476375" cy="4405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rgbClr val="00B0F0"/>
              </a:solidFill>
              <a:effectLst/>
              <a:latin typeface="+mn-lt"/>
              <a:ea typeface="+mn-ea"/>
              <a:cs typeface="+mn-cs"/>
            </a:rPr>
            <a:t>Tree Well Schematic</a:t>
          </a:r>
          <a:endParaRPr lang="en-US">
            <a:solidFill>
              <a:srgbClr val="00B0F0"/>
            </a:solidFill>
            <a:effectLst/>
          </a:endParaRPr>
        </a:p>
        <a:p>
          <a:pPr algn="l"/>
          <a:r>
            <a:rPr lang="en-US" sz="1100" b="1">
              <a:solidFill>
                <a:srgbClr val="00B0F0"/>
              </a:solidFill>
            </a:rPr>
            <a:t>SD-A Tree Wells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38100</xdr:colOff>
      <xdr:row>44</xdr:row>
      <xdr:rowOff>0</xdr:rowOff>
    </xdr:from>
    <xdr:to>
      <xdr:col>23</xdr:col>
      <xdr:colOff>561300</xdr:colOff>
      <xdr:row>51</xdr:row>
      <xdr:rowOff>133143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2268200" y="10410825"/>
          <a:ext cx="5400000" cy="1657143"/>
        </a:xfrm>
        <a:prstGeom prst="rect">
          <a:avLst/>
        </a:prstGeom>
      </xdr:spPr>
    </xdr:pic>
    <xdr:clientData/>
  </xdr:twoCellAnchor>
  <xdr:twoCellAnchor editAs="oneCell">
    <xdr:from>
      <xdr:col>7</xdr:col>
      <xdr:colOff>495300</xdr:colOff>
      <xdr:row>0</xdr:row>
      <xdr:rowOff>161925</xdr:rowOff>
    </xdr:from>
    <xdr:to>
      <xdr:col>14</xdr:col>
      <xdr:colOff>294767</xdr:colOff>
      <xdr:row>9</xdr:row>
      <xdr:rowOff>95014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7848600" y="161925"/>
          <a:ext cx="4066667" cy="18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ndiegocounty.gov/content/sdc/pds/deptfile.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B1:T35"/>
  <sheetViews>
    <sheetView showGridLines="0" topLeftCell="A19" zoomScale="80" zoomScaleNormal="80" workbookViewId="0">
      <selection activeCell="C12" sqref="C12:S12"/>
    </sheetView>
  </sheetViews>
  <sheetFormatPr defaultColWidth="9.1796875" defaultRowHeight="14.5" x14ac:dyDescent="0.35"/>
  <cols>
    <col min="1" max="1" width="2.7265625" style="81" customWidth="1"/>
    <col min="2" max="2" width="1.7265625" style="81" customWidth="1"/>
    <col min="3" max="4" width="12.7265625" style="81" customWidth="1"/>
    <col min="5" max="5" width="14" style="81" customWidth="1"/>
    <col min="6" max="9" width="12.7265625" style="81" customWidth="1"/>
    <col min="10" max="10" width="6.54296875" style="81" customWidth="1"/>
    <col min="11" max="13" width="12.7265625" style="81" customWidth="1"/>
    <col min="14" max="14" width="7.7265625" style="81" customWidth="1"/>
    <col min="15" max="18" width="12.7265625" style="81" customWidth="1"/>
    <col min="19" max="19" width="20.81640625" style="81" customWidth="1"/>
    <col min="20" max="20" width="3.26953125" style="81" customWidth="1"/>
    <col min="21" max="16384" width="9.1796875" style="81"/>
  </cols>
  <sheetData>
    <row r="1" spans="2:20" ht="23" x14ac:dyDescent="0.5">
      <c r="B1" s="63"/>
      <c r="C1" s="172" t="s">
        <v>204</v>
      </c>
      <c r="D1" s="172"/>
      <c r="E1" s="172"/>
      <c r="F1" s="172"/>
      <c r="G1" s="172"/>
      <c r="H1" s="172"/>
      <c r="I1" s="172"/>
      <c r="J1" s="172"/>
      <c r="K1" s="172"/>
      <c r="L1" s="172"/>
      <c r="M1" s="172"/>
      <c r="N1" s="172"/>
      <c r="O1" s="172"/>
      <c r="P1" s="172"/>
      <c r="Q1" s="172"/>
      <c r="R1" s="172"/>
      <c r="S1" s="172"/>
      <c r="T1" s="36"/>
    </row>
    <row r="2" spans="2:20" ht="23" x14ac:dyDescent="0.5">
      <c r="B2" s="64"/>
      <c r="C2" s="173" t="s">
        <v>205</v>
      </c>
      <c r="D2" s="173"/>
      <c r="E2" s="173"/>
      <c r="F2" s="173"/>
      <c r="G2" s="173"/>
      <c r="H2" s="173"/>
      <c r="I2" s="173"/>
      <c r="J2" s="173"/>
      <c r="K2" s="173"/>
      <c r="L2" s="173"/>
      <c r="M2" s="173"/>
      <c r="N2" s="173"/>
      <c r="O2" s="173"/>
      <c r="P2" s="173"/>
      <c r="Q2" s="173"/>
      <c r="R2" s="173"/>
      <c r="S2" s="173"/>
      <c r="T2" s="37"/>
    </row>
    <row r="3" spans="2:20" ht="23" x14ac:dyDescent="0.5">
      <c r="B3" s="64"/>
      <c r="C3" s="173" t="s">
        <v>203</v>
      </c>
      <c r="D3" s="173"/>
      <c r="E3" s="173"/>
      <c r="F3" s="173"/>
      <c r="G3" s="173"/>
      <c r="H3" s="173"/>
      <c r="I3" s="173"/>
      <c r="J3" s="173"/>
      <c r="K3" s="173"/>
      <c r="L3" s="173"/>
      <c r="M3" s="173"/>
      <c r="N3" s="173"/>
      <c r="O3" s="173"/>
      <c r="P3" s="173"/>
      <c r="Q3" s="173"/>
      <c r="R3" s="173"/>
      <c r="S3" s="173"/>
      <c r="T3" s="37"/>
    </row>
    <row r="4" spans="2:20" x14ac:dyDescent="0.35">
      <c r="B4" s="64"/>
      <c r="C4" s="33"/>
      <c r="D4" s="33"/>
      <c r="E4" s="33"/>
      <c r="F4" s="33"/>
      <c r="G4" s="33"/>
      <c r="H4" s="33"/>
      <c r="I4" s="33"/>
      <c r="J4" s="33"/>
      <c r="K4" s="33"/>
      <c r="L4" s="33"/>
      <c r="M4" s="33"/>
      <c r="N4" s="33"/>
      <c r="O4" s="33"/>
      <c r="P4" s="33"/>
      <c r="Q4" s="33"/>
      <c r="R4" s="33"/>
      <c r="S4" s="33"/>
      <c r="T4" s="37"/>
    </row>
    <row r="5" spans="2:20" ht="18" x14ac:dyDescent="0.4">
      <c r="B5" s="64"/>
      <c r="C5" s="60" t="s">
        <v>49</v>
      </c>
      <c r="D5" s="34"/>
      <c r="E5" s="34"/>
      <c r="F5" s="34"/>
      <c r="G5" s="34"/>
      <c r="H5" s="34"/>
      <c r="I5" s="34"/>
      <c r="J5" s="34"/>
      <c r="K5" s="34"/>
      <c r="L5" s="34"/>
      <c r="M5" s="34"/>
      <c r="N5" s="34"/>
      <c r="O5" s="34"/>
      <c r="P5" s="34"/>
      <c r="Q5" s="34"/>
      <c r="R5" s="34"/>
      <c r="S5" s="34"/>
      <c r="T5" s="37"/>
    </row>
    <row r="6" spans="2:20" ht="50.15" customHeight="1" x14ac:dyDescent="0.35">
      <c r="B6" s="64"/>
      <c r="C6" s="165" t="s">
        <v>212</v>
      </c>
      <c r="D6" s="165"/>
      <c r="E6" s="165"/>
      <c r="F6" s="165"/>
      <c r="G6" s="165"/>
      <c r="H6" s="165"/>
      <c r="I6" s="165"/>
      <c r="J6" s="165"/>
      <c r="K6" s="165"/>
      <c r="L6" s="165"/>
      <c r="M6" s="165"/>
      <c r="N6" s="165"/>
      <c r="O6" s="165"/>
      <c r="P6" s="165"/>
      <c r="Q6" s="165"/>
      <c r="R6" s="165"/>
      <c r="S6" s="165"/>
      <c r="T6" s="37"/>
    </row>
    <row r="7" spans="2:20" ht="50.15" customHeight="1" x14ac:dyDescent="0.35">
      <c r="B7" s="64"/>
      <c r="C7" s="171" t="s">
        <v>236</v>
      </c>
      <c r="D7" s="171"/>
      <c r="E7" s="171"/>
      <c r="F7" s="171"/>
      <c r="G7" s="171"/>
      <c r="H7" s="171"/>
      <c r="I7" s="171"/>
      <c r="J7" s="171"/>
      <c r="K7" s="171"/>
      <c r="L7" s="171"/>
      <c r="M7" s="171"/>
      <c r="N7" s="171"/>
      <c r="O7" s="171"/>
      <c r="P7" s="171"/>
      <c r="Q7" s="171"/>
      <c r="R7" s="171"/>
      <c r="S7" s="171"/>
      <c r="T7" s="37"/>
    </row>
    <row r="8" spans="2:20" ht="30" customHeight="1" x14ac:dyDescent="0.35">
      <c r="B8" s="64"/>
      <c r="C8" s="171" t="s">
        <v>237</v>
      </c>
      <c r="D8" s="171"/>
      <c r="E8" s="171"/>
      <c r="F8" s="171"/>
      <c r="G8" s="171"/>
      <c r="H8" s="171"/>
      <c r="I8" s="171"/>
      <c r="J8" s="171"/>
      <c r="K8" s="171"/>
      <c r="L8" s="171"/>
      <c r="M8" s="171"/>
      <c r="N8" s="171"/>
      <c r="O8" s="171"/>
      <c r="P8" s="171"/>
      <c r="Q8" s="171"/>
      <c r="R8" s="171"/>
      <c r="S8" s="171"/>
      <c r="T8" s="37"/>
    </row>
    <row r="9" spans="2:20" ht="18" x14ac:dyDescent="0.4">
      <c r="B9" s="64"/>
      <c r="C9" s="34"/>
      <c r="D9" s="34"/>
      <c r="E9" s="34"/>
      <c r="F9" s="34"/>
      <c r="G9" s="34"/>
      <c r="H9" s="34"/>
      <c r="I9" s="34"/>
      <c r="J9" s="34"/>
      <c r="K9" s="34"/>
      <c r="L9" s="34"/>
      <c r="M9" s="34"/>
      <c r="N9" s="34"/>
      <c r="O9" s="34"/>
      <c r="P9" s="34"/>
      <c r="Q9" s="34"/>
      <c r="R9" s="34"/>
      <c r="S9" s="34"/>
      <c r="T9" s="37"/>
    </row>
    <row r="10" spans="2:20" ht="18" x14ac:dyDescent="0.4">
      <c r="B10" s="64"/>
      <c r="C10" s="60" t="s">
        <v>48</v>
      </c>
      <c r="D10" s="34"/>
      <c r="E10" s="34"/>
      <c r="F10" s="34"/>
      <c r="G10" s="34"/>
      <c r="H10" s="34"/>
      <c r="I10" s="34"/>
      <c r="J10" s="34"/>
      <c r="K10" s="34"/>
      <c r="L10" s="34"/>
      <c r="M10" s="34"/>
      <c r="N10" s="34"/>
      <c r="O10" s="34"/>
      <c r="P10" s="34"/>
      <c r="Q10" s="34"/>
      <c r="R10" s="34"/>
      <c r="S10" s="34"/>
      <c r="T10" s="37"/>
    </row>
    <row r="11" spans="2:20" ht="120" customHeight="1" x14ac:dyDescent="0.35">
      <c r="B11" s="64"/>
      <c r="C11" s="165" t="s">
        <v>235</v>
      </c>
      <c r="D11" s="165"/>
      <c r="E11" s="165"/>
      <c r="F11" s="165"/>
      <c r="G11" s="165"/>
      <c r="H11" s="165"/>
      <c r="I11" s="165"/>
      <c r="J11" s="165"/>
      <c r="K11" s="165"/>
      <c r="L11" s="165"/>
      <c r="M11" s="165"/>
      <c r="N11" s="165"/>
      <c r="O11" s="165"/>
      <c r="P11" s="165"/>
      <c r="Q11" s="165"/>
      <c r="R11" s="165"/>
      <c r="S11" s="165"/>
      <c r="T11" s="37"/>
    </row>
    <row r="12" spans="2:20" ht="113.9" customHeight="1" x14ac:dyDescent="0.35">
      <c r="B12" s="64"/>
      <c r="C12" s="165" t="s">
        <v>253</v>
      </c>
      <c r="D12" s="165"/>
      <c r="E12" s="165"/>
      <c r="F12" s="165"/>
      <c r="G12" s="165"/>
      <c r="H12" s="165"/>
      <c r="I12" s="165"/>
      <c r="J12" s="165"/>
      <c r="K12" s="165"/>
      <c r="L12" s="165"/>
      <c r="M12" s="165"/>
      <c r="N12" s="165"/>
      <c r="O12" s="165"/>
      <c r="P12" s="165"/>
      <c r="Q12" s="165"/>
      <c r="R12" s="165"/>
      <c r="S12" s="165"/>
      <c r="T12" s="37"/>
    </row>
    <row r="13" spans="2:20" ht="70.5" customHeight="1" x14ac:dyDescent="0.35">
      <c r="B13" s="64"/>
      <c r="C13" s="165" t="s">
        <v>206</v>
      </c>
      <c r="D13" s="165"/>
      <c r="E13" s="165"/>
      <c r="F13" s="165"/>
      <c r="G13" s="165"/>
      <c r="H13" s="165"/>
      <c r="I13" s="165"/>
      <c r="J13" s="165"/>
      <c r="K13" s="165"/>
      <c r="L13" s="165"/>
      <c r="M13" s="165"/>
      <c r="N13" s="165"/>
      <c r="O13" s="165"/>
      <c r="P13" s="165"/>
      <c r="Q13" s="165"/>
      <c r="R13" s="165"/>
      <c r="S13" s="165"/>
      <c r="T13" s="37"/>
    </row>
    <row r="14" spans="2:20" ht="48" customHeight="1" x14ac:dyDescent="0.35">
      <c r="B14" s="64"/>
      <c r="C14" s="165" t="s">
        <v>207</v>
      </c>
      <c r="D14" s="165"/>
      <c r="E14" s="165"/>
      <c r="F14" s="165"/>
      <c r="G14" s="165"/>
      <c r="H14" s="165"/>
      <c r="I14" s="165"/>
      <c r="J14" s="165"/>
      <c r="K14" s="165"/>
      <c r="L14" s="165"/>
      <c r="M14" s="165"/>
      <c r="N14" s="165"/>
      <c r="O14" s="165"/>
      <c r="P14" s="165"/>
      <c r="Q14" s="165"/>
      <c r="R14" s="165"/>
      <c r="S14" s="165"/>
      <c r="T14" s="37"/>
    </row>
    <row r="15" spans="2:20" ht="13.5" customHeight="1" x14ac:dyDescent="0.35">
      <c r="B15" s="64"/>
      <c r="C15" s="159"/>
      <c r="D15" s="159"/>
      <c r="E15" s="159"/>
      <c r="F15" s="159"/>
      <c r="G15" s="159"/>
      <c r="H15" s="159"/>
      <c r="I15" s="159"/>
      <c r="J15" s="159"/>
      <c r="K15" s="159"/>
      <c r="L15" s="159"/>
      <c r="M15" s="159"/>
      <c r="N15" s="159"/>
      <c r="O15" s="159"/>
      <c r="P15" s="159"/>
      <c r="Q15" s="159"/>
      <c r="R15" s="159"/>
      <c r="S15" s="159"/>
      <c r="T15" s="37"/>
    </row>
    <row r="16" spans="2:20" ht="18" x14ac:dyDescent="0.4">
      <c r="B16" s="64"/>
      <c r="C16" s="61" t="s">
        <v>50</v>
      </c>
      <c r="D16" s="35"/>
      <c r="E16" s="35"/>
      <c r="F16" s="35"/>
      <c r="G16" s="35"/>
      <c r="H16" s="35"/>
      <c r="I16" s="35"/>
      <c r="J16" s="35"/>
      <c r="K16" s="35"/>
      <c r="L16" s="35"/>
      <c r="M16" s="35"/>
      <c r="N16" s="35"/>
      <c r="O16" s="35"/>
      <c r="P16" s="35"/>
      <c r="Q16" s="35"/>
      <c r="R16" s="35"/>
      <c r="S16" s="35"/>
      <c r="T16" s="37"/>
    </row>
    <row r="17" spans="2:20" ht="93" customHeight="1" x14ac:dyDescent="0.35">
      <c r="B17" s="64"/>
      <c r="C17" s="174" t="s">
        <v>211</v>
      </c>
      <c r="D17" s="175"/>
      <c r="E17" s="175"/>
      <c r="F17" s="175"/>
      <c r="G17" s="175"/>
      <c r="H17" s="175"/>
      <c r="I17" s="175"/>
      <c r="J17" s="175"/>
      <c r="K17" s="175"/>
      <c r="L17" s="175"/>
      <c r="M17" s="175"/>
      <c r="N17" s="175"/>
      <c r="O17" s="175"/>
      <c r="P17" s="175"/>
      <c r="Q17" s="175"/>
      <c r="R17" s="175"/>
      <c r="S17" s="175"/>
      <c r="T17" s="37"/>
    </row>
    <row r="18" spans="2:20" ht="13.5" customHeight="1" x14ac:dyDescent="0.35">
      <c r="B18" s="64"/>
      <c r="C18" s="62"/>
      <c r="D18" s="59"/>
      <c r="E18" s="59"/>
      <c r="F18" s="59"/>
      <c r="G18" s="59"/>
      <c r="H18" s="59"/>
      <c r="I18" s="59"/>
      <c r="J18" s="59"/>
      <c r="K18" s="59"/>
      <c r="L18" s="59"/>
      <c r="M18" s="59"/>
      <c r="N18" s="59"/>
      <c r="O18" s="59"/>
      <c r="P18" s="59"/>
      <c r="Q18" s="59"/>
      <c r="R18" s="59"/>
      <c r="S18" s="59"/>
      <c r="T18" s="37"/>
    </row>
    <row r="19" spans="2:20" ht="20.25" customHeight="1" x14ac:dyDescent="0.4">
      <c r="B19" s="64"/>
      <c r="C19" s="61" t="s">
        <v>82</v>
      </c>
      <c r="D19" s="59"/>
      <c r="E19" s="59"/>
      <c r="F19" s="59"/>
      <c r="G19" s="59"/>
      <c r="H19" s="59"/>
      <c r="I19" s="59"/>
      <c r="J19" s="59"/>
      <c r="K19" s="59"/>
      <c r="L19" s="59"/>
      <c r="M19" s="59"/>
      <c r="N19" s="59"/>
      <c r="O19" s="59"/>
      <c r="P19" s="59"/>
      <c r="Q19" s="59"/>
      <c r="R19" s="59"/>
      <c r="S19" s="59"/>
      <c r="T19" s="37"/>
    </row>
    <row r="20" spans="2:20" ht="19.5" customHeight="1" x14ac:dyDescent="0.35">
      <c r="B20" s="64"/>
      <c r="C20" s="162" t="s">
        <v>86</v>
      </c>
      <c r="D20" s="162"/>
      <c r="E20" s="162"/>
      <c r="F20" s="162"/>
      <c r="G20" s="162"/>
      <c r="H20" s="162"/>
      <c r="I20" s="162"/>
      <c r="J20" s="162"/>
      <c r="K20" s="162"/>
      <c r="L20" s="162"/>
      <c r="M20" s="162"/>
      <c r="N20" s="162"/>
      <c r="O20" s="162"/>
      <c r="P20" s="162"/>
      <c r="Q20" s="162"/>
      <c r="R20" s="162"/>
      <c r="S20" s="162"/>
      <c r="T20" s="37"/>
    </row>
    <row r="21" spans="2:20" ht="19.5" customHeight="1" x14ac:dyDescent="0.35">
      <c r="B21" s="64"/>
      <c r="C21" s="176" t="s">
        <v>85</v>
      </c>
      <c r="D21" s="176"/>
      <c r="E21" s="176"/>
      <c r="F21" s="176"/>
      <c r="G21" s="158"/>
      <c r="H21" s="158"/>
      <c r="I21" s="158"/>
      <c r="J21" s="158"/>
      <c r="K21" s="158"/>
      <c r="L21" s="158"/>
      <c r="M21" s="158"/>
      <c r="N21" s="158"/>
      <c r="O21" s="157"/>
      <c r="P21" s="157"/>
      <c r="Q21" s="157"/>
      <c r="R21" s="157"/>
      <c r="S21" s="57"/>
      <c r="T21" s="37"/>
    </row>
    <row r="22" spans="2:20" ht="18.75" customHeight="1" x14ac:dyDescent="0.35">
      <c r="B22" s="64"/>
      <c r="C22" s="162" t="s">
        <v>213</v>
      </c>
      <c r="D22" s="162"/>
      <c r="E22" s="162"/>
      <c r="F22" s="162"/>
      <c r="G22" s="162"/>
      <c r="H22" s="162"/>
      <c r="I22" s="162"/>
      <c r="J22" s="162"/>
      <c r="K22" s="162"/>
      <c r="L22" s="162"/>
      <c r="M22" s="162"/>
      <c r="N22" s="162"/>
      <c r="O22" s="162"/>
      <c r="P22" s="162"/>
      <c r="Q22" s="162"/>
      <c r="R22" s="162"/>
      <c r="S22" s="162"/>
      <c r="T22" s="37"/>
    </row>
    <row r="23" spans="2:20" ht="5.25" customHeight="1" thickBot="1" x14ac:dyDescent="0.4">
      <c r="B23" s="38"/>
      <c r="C23" s="39"/>
      <c r="D23" s="39"/>
      <c r="E23" s="39"/>
      <c r="F23" s="39"/>
      <c r="G23" s="39"/>
      <c r="H23" s="39"/>
      <c r="I23" s="39"/>
      <c r="J23" s="39"/>
      <c r="K23" s="39"/>
      <c r="L23" s="39"/>
      <c r="M23" s="39"/>
      <c r="N23" s="39"/>
      <c r="O23" s="39"/>
      <c r="P23" s="39"/>
      <c r="Q23" s="39"/>
      <c r="R23" s="39"/>
      <c r="S23" s="39"/>
      <c r="T23" s="40"/>
    </row>
    <row r="24" spans="2:20" ht="20.149999999999999" customHeight="1" x14ac:dyDescent="0.35"/>
    <row r="25" spans="2:20" ht="20.149999999999999" customHeight="1" x14ac:dyDescent="0.35"/>
    <row r="26" spans="2:20" ht="20.149999999999999" customHeight="1" x14ac:dyDescent="0.35"/>
    <row r="27" spans="2:20" ht="20.149999999999999" customHeight="1" x14ac:dyDescent="0.35"/>
    <row r="28" spans="2:20" ht="20.149999999999999" customHeight="1" x14ac:dyDescent="0.35"/>
    <row r="29" spans="2:20" ht="20.149999999999999" customHeight="1" x14ac:dyDescent="0.35"/>
    <row r="30" spans="2:20" ht="20.149999999999999" customHeight="1" x14ac:dyDescent="0.35">
      <c r="C30" s="166" t="s">
        <v>56</v>
      </c>
      <c r="D30" s="166"/>
      <c r="E30" s="166"/>
      <c r="F30" s="166"/>
      <c r="G30" s="166"/>
      <c r="H30" s="166"/>
      <c r="I30" s="166"/>
      <c r="J30" s="166"/>
      <c r="K30" s="166"/>
      <c r="L30" s="166"/>
      <c r="M30" s="166"/>
      <c r="N30" s="166"/>
      <c r="O30" s="166"/>
      <c r="P30" s="166"/>
      <c r="Q30" s="166"/>
      <c r="R30" s="166"/>
      <c r="S30" s="166"/>
    </row>
    <row r="31" spans="2:20" ht="20.149999999999999" customHeight="1" x14ac:dyDescent="0.35">
      <c r="C31" s="160" t="s">
        <v>52</v>
      </c>
      <c r="D31" s="160" t="s">
        <v>53</v>
      </c>
      <c r="E31" s="164" t="s">
        <v>55</v>
      </c>
      <c r="F31" s="164"/>
      <c r="G31" s="164"/>
      <c r="H31" s="164"/>
      <c r="I31" s="164"/>
      <c r="J31" s="164"/>
      <c r="K31" s="164"/>
      <c r="L31" s="164"/>
      <c r="M31" s="164"/>
      <c r="N31" s="164"/>
      <c r="O31" s="164"/>
      <c r="P31" s="164"/>
      <c r="Q31" s="164"/>
      <c r="R31" s="164"/>
      <c r="S31" s="164"/>
    </row>
    <row r="32" spans="2:20" ht="20.149999999999999" customHeight="1" x14ac:dyDescent="0.35">
      <c r="C32" s="53" t="s">
        <v>54</v>
      </c>
      <c r="D32" s="77">
        <v>44005</v>
      </c>
      <c r="E32" s="168" t="s">
        <v>327</v>
      </c>
      <c r="F32" s="169"/>
      <c r="G32" s="169"/>
      <c r="H32" s="169"/>
      <c r="I32" s="169"/>
      <c r="J32" s="169"/>
      <c r="K32" s="169"/>
      <c r="L32" s="169"/>
      <c r="M32" s="169"/>
      <c r="N32" s="169"/>
      <c r="O32" s="169"/>
      <c r="P32" s="169"/>
      <c r="Q32" s="169"/>
      <c r="R32" s="169"/>
      <c r="S32" s="170"/>
    </row>
    <row r="33" spans="3:19" ht="20.149999999999999" customHeight="1" x14ac:dyDescent="0.35">
      <c r="C33" s="53" t="s">
        <v>54</v>
      </c>
      <c r="D33" s="77">
        <v>43986</v>
      </c>
      <c r="E33" s="167" t="s">
        <v>210</v>
      </c>
      <c r="F33" s="167"/>
      <c r="G33" s="167"/>
      <c r="H33" s="167"/>
      <c r="I33" s="167"/>
      <c r="J33" s="167"/>
      <c r="K33" s="167"/>
      <c r="L33" s="167"/>
      <c r="M33" s="167"/>
      <c r="N33" s="167"/>
      <c r="O33" s="167"/>
      <c r="P33" s="167"/>
      <c r="Q33" s="167"/>
      <c r="R33" s="167"/>
      <c r="S33" s="167"/>
    </row>
    <row r="34" spans="3:19" ht="20.149999999999999" customHeight="1" x14ac:dyDescent="0.35">
      <c r="C34" s="53" t="s">
        <v>54</v>
      </c>
      <c r="D34" s="54">
        <v>43966</v>
      </c>
      <c r="E34" s="167" t="s">
        <v>210</v>
      </c>
      <c r="F34" s="167"/>
      <c r="G34" s="167"/>
      <c r="H34" s="167"/>
      <c r="I34" s="167"/>
      <c r="J34" s="167"/>
      <c r="K34" s="167"/>
      <c r="L34" s="167"/>
      <c r="M34" s="167"/>
      <c r="N34" s="167"/>
      <c r="O34" s="167"/>
      <c r="P34" s="167"/>
      <c r="Q34" s="167"/>
      <c r="R34" s="167"/>
      <c r="S34" s="167"/>
    </row>
    <row r="35" spans="3:19" ht="20.149999999999999" customHeight="1" x14ac:dyDescent="0.35">
      <c r="C35" s="155"/>
      <c r="D35" s="156"/>
      <c r="E35" s="163"/>
      <c r="F35" s="163"/>
      <c r="G35" s="163"/>
      <c r="H35" s="163"/>
      <c r="I35" s="163"/>
      <c r="J35" s="163"/>
      <c r="K35" s="163"/>
      <c r="L35" s="163"/>
      <c r="M35" s="163"/>
      <c r="N35" s="163"/>
      <c r="O35" s="163"/>
      <c r="P35" s="163"/>
      <c r="Q35" s="163"/>
      <c r="R35" s="163"/>
      <c r="S35" s="163"/>
    </row>
  </sheetData>
  <sheetProtection algorithmName="SHA-512" hashValue="1wUee7rhGVJQIbVptOihJjg7E/0pnswiKDVWSCQusHztiV3mofh5nuqu1UcOh4Q6XTtT9JGyedt5+gElY0KeFg==" saltValue="HuZzkx3LaH0FqWcYyHDMbQ==" spinCount="100000" sheet="1" objects="1" scenarios="1" formatColumns="0"/>
  <mergeCells count="20">
    <mergeCell ref="C1:S1"/>
    <mergeCell ref="C2:S2"/>
    <mergeCell ref="C17:S17"/>
    <mergeCell ref="C21:F21"/>
    <mergeCell ref="C20:S20"/>
    <mergeCell ref="C3:S3"/>
    <mergeCell ref="C13:S13"/>
    <mergeCell ref="C14:S14"/>
    <mergeCell ref="C7:S7"/>
    <mergeCell ref="C22:S22"/>
    <mergeCell ref="E35:S35"/>
    <mergeCell ref="E31:S31"/>
    <mergeCell ref="C11:S11"/>
    <mergeCell ref="C6:S6"/>
    <mergeCell ref="C30:S30"/>
    <mergeCell ref="E34:S34"/>
    <mergeCell ref="E33:S33"/>
    <mergeCell ref="E32:S32"/>
    <mergeCell ref="C8:S8"/>
    <mergeCell ref="C12:S12"/>
  </mergeCells>
  <hyperlinks>
    <hyperlink ref="C21:E21" r:id="rId1" display="PDS Land Development Project Manager" xr:uid="{00000000-0004-0000-0000-000001000000}"/>
  </hyperlinks>
  <pageMargins left="0.7" right="0.7" top="0.5" bottom="0.5" header="0.3" footer="0.3"/>
  <pageSetup scale="55" orientation="landscape" r:id="rId2"/>
  <ignoredErrors>
    <ignoredError sqref="C32:C34" numberStoredAsText="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C45"/>
  <sheetViews>
    <sheetView showGridLines="0" zoomScale="80" zoomScaleNormal="80" workbookViewId="0"/>
  </sheetViews>
  <sheetFormatPr defaultColWidth="9.1796875" defaultRowHeight="14.5" x14ac:dyDescent="0.35"/>
  <cols>
    <col min="1" max="1" width="2.7265625" style="65" customWidth="1"/>
    <col min="2" max="2" width="15.7265625" style="65" customWidth="1"/>
    <col min="3" max="3" width="4.7265625" style="65" customWidth="1"/>
    <col min="4" max="4" width="80.7265625" style="65" customWidth="1"/>
    <col min="5" max="14" width="11.7265625" style="65" customWidth="1"/>
    <col min="15" max="15" width="10.7265625" style="65" customWidth="1"/>
    <col min="16" max="16" width="5.7265625" style="65" customWidth="1"/>
    <col min="17" max="17" width="115.81640625" style="65" hidden="1" customWidth="1"/>
    <col min="18" max="18" width="6.7265625" style="65" customWidth="1"/>
    <col min="19" max="29" width="9.1796875" style="65" hidden="1" customWidth="1"/>
    <col min="30" max="16384" width="9.1796875" style="65"/>
  </cols>
  <sheetData>
    <row r="1" spans="2:29" ht="16" customHeight="1" x14ac:dyDescent="0.4">
      <c r="B1" s="186" t="s">
        <v>290</v>
      </c>
      <c r="C1" s="187"/>
      <c r="D1" s="187"/>
      <c r="E1" s="187"/>
      <c r="F1" s="187"/>
      <c r="G1" s="187"/>
      <c r="H1" s="187"/>
      <c r="I1" s="187"/>
      <c r="J1" s="187"/>
      <c r="K1" s="187"/>
      <c r="L1" s="187"/>
      <c r="M1" s="187"/>
      <c r="N1" s="187"/>
      <c r="O1" s="188"/>
      <c r="P1" s="43"/>
      <c r="Q1" s="45" t="s">
        <v>29</v>
      </c>
      <c r="R1" s="46"/>
    </row>
    <row r="2" spans="2:29" ht="15" customHeight="1" x14ac:dyDescent="0.35">
      <c r="B2" s="78" t="s">
        <v>7</v>
      </c>
      <c r="C2" s="78" t="s">
        <v>5</v>
      </c>
      <c r="D2" s="78" t="s">
        <v>0</v>
      </c>
      <c r="E2" s="82" t="s">
        <v>30</v>
      </c>
      <c r="F2" s="82" t="s">
        <v>31</v>
      </c>
      <c r="G2" s="82" t="s">
        <v>32</v>
      </c>
      <c r="H2" s="82" t="s">
        <v>33</v>
      </c>
      <c r="I2" s="82" t="s">
        <v>34</v>
      </c>
      <c r="J2" s="82" t="s">
        <v>35</v>
      </c>
      <c r="K2" s="82" t="s">
        <v>36</v>
      </c>
      <c r="L2" s="82" t="s">
        <v>65</v>
      </c>
      <c r="M2" s="82" t="s">
        <v>37</v>
      </c>
      <c r="N2" s="82" t="s">
        <v>38</v>
      </c>
      <c r="O2" s="78" t="s">
        <v>1</v>
      </c>
      <c r="Q2" s="83" t="s">
        <v>324</v>
      </c>
      <c r="S2" s="177" t="s">
        <v>28</v>
      </c>
      <c r="T2" s="178"/>
      <c r="U2" s="178"/>
      <c r="V2" s="178"/>
      <c r="W2" s="178"/>
      <c r="X2" s="178"/>
      <c r="Y2" s="178"/>
      <c r="Z2" s="178"/>
      <c r="AA2" s="178"/>
      <c r="AB2" s="179"/>
    </row>
    <row r="3" spans="2:29" ht="15" customHeight="1" x14ac:dyDescent="0.35">
      <c r="B3" s="189" t="s">
        <v>62</v>
      </c>
      <c r="C3" s="66">
        <v>1</v>
      </c>
      <c r="D3" s="80" t="s">
        <v>51</v>
      </c>
      <c r="E3" s="144"/>
      <c r="F3" s="144"/>
      <c r="G3" s="144"/>
      <c r="H3" s="144"/>
      <c r="I3" s="144"/>
      <c r="J3" s="144"/>
      <c r="K3" s="144"/>
      <c r="L3" s="144"/>
      <c r="M3" s="144"/>
      <c r="N3" s="144"/>
      <c r="O3" s="67" t="s">
        <v>12</v>
      </c>
      <c r="P3" s="56"/>
      <c r="Q3" s="84" t="s">
        <v>293</v>
      </c>
      <c r="S3" s="74"/>
      <c r="T3" s="75"/>
      <c r="U3" s="75"/>
      <c r="V3" s="75"/>
      <c r="W3" s="75"/>
      <c r="X3" s="44"/>
      <c r="Y3" s="44"/>
      <c r="Z3" s="44"/>
      <c r="AA3" s="44"/>
      <c r="AB3" s="47"/>
      <c r="AC3" s="44"/>
    </row>
    <row r="4" spans="2:29" ht="15" customHeight="1" x14ac:dyDescent="0.35">
      <c r="B4" s="190"/>
      <c r="C4" s="66">
        <v>2</v>
      </c>
      <c r="D4" s="103" t="s">
        <v>11</v>
      </c>
      <c r="E4" s="145"/>
      <c r="F4" s="145"/>
      <c r="G4" s="145"/>
      <c r="H4" s="145"/>
      <c r="I4" s="145"/>
      <c r="J4" s="145"/>
      <c r="K4" s="145"/>
      <c r="L4" s="145"/>
      <c r="M4" s="145"/>
      <c r="N4" s="145"/>
      <c r="O4" s="67" t="s">
        <v>3</v>
      </c>
      <c r="P4" s="56"/>
      <c r="Q4" s="85" t="s">
        <v>94</v>
      </c>
      <c r="S4" s="74"/>
      <c r="T4" s="75"/>
      <c r="U4" s="75"/>
      <c r="V4" s="75"/>
      <c r="W4" s="75"/>
      <c r="X4" s="44"/>
      <c r="Y4" s="44"/>
      <c r="Z4" s="44"/>
      <c r="AA4" s="44"/>
      <c r="AB4" s="47"/>
      <c r="AC4" s="44"/>
    </row>
    <row r="5" spans="2:29" ht="15" customHeight="1" x14ac:dyDescent="0.35">
      <c r="B5" s="190"/>
      <c r="C5" s="66">
        <v>3</v>
      </c>
      <c r="D5" s="80" t="s">
        <v>119</v>
      </c>
      <c r="E5" s="137"/>
      <c r="F5" s="137"/>
      <c r="G5" s="137"/>
      <c r="H5" s="137"/>
      <c r="I5" s="137"/>
      <c r="J5" s="137"/>
      <c r="K5" s="137"/>
      <c r="L5" s="137"/>
      <c r="M5" s="137"/>
      <c r="N5" s="137"/>
      <c r="O5" s="67" t="s">
        <v>15</v>
      </c>
      <c r="P5" s="56"/>
      <c r="Q5" s="85" t="s">
        <v>95</v>
      </c>
      <c r="S5" s="74"/>
      <c r="T5" s="75"/>
      <c r="U5" s="75"/>
      <c r="V5" s="75"/>
      <c r="W5" s="75"/>
      <c r="X5" s="44"/>
      <c r="Y5" s="44"/>
      <c r="Z5" s="44"/>
      <c r="AA5" s="44"/>
      <c r="AB5" s="47"/>
      <c r="AC5" s="44"/>
    </row>
    <row r="6" spans="2:29" ht="15" customHeight="1" x14ac:dyDescent="0.35">
      <c r="B6" s="190"/>
      <c r="C6" s="66">
        <v>4</v>
      </c>
      <c r="D6" s="80" t="s">
        <v>60</v>
      </c>
      <c r="E6" s="137"/>
      <c r="F6" s="137"/>
      <c r="G6" s="137"/>
      <c r="H6" s="137"/>
      <c r="I6" s="137"/>
      <c r="J6" s="137"/>
      <c r="K6" s="137"/>
      <c r="L6" s="137"/>
      <c r="M6" s="137"/>
      <c r="N6" s="137"/>
      <c r="O6" s="67" t="s">
        <v>4</v>
      </c>
      <c r="P6" s="56"/>
      <c r="Q6" s="85" t="s">
        <v>294</v>
      </c>
      <c r="S6" s="42"/>
      <c r="T6" s="32"/>
      <c r="U6" s="32"/>
      <c r="V6" s="32"/>
      <c r="W6" s="32"/>
      <c r="X6" s="44"/>
      <c r="Y6" s="44"/>
      <c r="Z6" s="44"/>
      <c r="AA6" s="44"/>
      <c r="AB6" s="47"/>
      <c r="AC6" s="44"/>
    </row>
    <row r="7" spans="2:29" ht="15" customHeight="1" x14ac:dyDescent="0.35">
      <c r="B7" s="190"/>
      <c r="C7" s="66">
        <v>5</v>
      </c>
      <c r="D7" s="103" t="s">
        <v>43</v>
      </c>
      <c r="E7" s="137"/>
      <c r="F7" s="137"/>
      <c r="G7" s="137"/>
      <c r="H7" s="137"/>
      <c r="I7" s="137"/>
      <c r="J7" s="137"/>
      <c r="K7" s="137"/>
      <c r="L7" s="137"/>
      <c r="M7" s="137"/>
      <c r="N7" s="137"/>
      <c r="O7" s="67" t="s">
        <v>4</v>
      </c>
      <c r="P7" s="56"/>
      <c r="Q7" s="85" t="s">
        <v>295</v>
      </c>
      <c r="S7" s="42"/>
      <c r="T7" s="32"/>
      <c r="U7" s="32"/>
      <c r="V7" s="32"/>
      <c r="W7" s="32"/>
      <c r="X7" s="44"/>
      <c r="Y7" s="44"/>
      <c r="Z7" s="44"/>
      <c r="AA7" s="44"/>
      <c r="AB7" s="47"/>
      <c r="AC7" s="44"/>
    </row>
    <row r="8" spans="2:29" ht="15" customHeight="1" x14ac:dyDescent="0.35">
      <c r="B8" s="190"/>
      <c r="C8" s="66">
        <v>6</v>
      </c>
      <c r="D8" s="103" t="s">
        <v>59</v>
      </c>
      <c r="E8" s="137"/>
      <c r="F8" s="137"/>
      <c r="G8" s="137"/>
      <c r="H8" s="137"/>
      <c r="I8" s="137"/>
      <c r="J8" s="137"/>
      <c r="K8" s="137"/>
      <c r="L8" s="137"/>
      <c r="M8" s="137"/>
      <c r="N8" s="137"/>
      <c r="O8" s="67" t="s">
        <v>4</v>
      </c>
      <c r="P8" s="56"/>
      <c r="Q8" s="85" t="s">
        <v>296</v>
      </c>
      <c r="S8" s="74"/>
      <c r="T8" s="75"/>
      <c r="U8" s="75"/>
      <c r="V8" s="75"/>
      <c r="W8" s="75"/>
      <c r="X8" s="44"/>
      <c r="Y8" s="44"/>
      <c r="Z8" s="44"/>
      <c r="AA8" s="44"/>
      <c r="AB8" s="47"/>
      <c r="AC8" s="44"/>
    </row>
    <row r="9" spans="2:29" ht="15" customHeight="1" x14ac:dyDescent="0.35">
      <c r="B9" s="190"/>
      <c r="C9" s="66">
        <v>7</v>
      </c>
      <c r="D9" s="103" t="s">
        <v>42</v>
      </c>
      <c r="E9" s="137"/>
      <c r="F9" s="137"/>
      <c r="G9" s="137"/>
      <c r="H9" s="137"/>
      <c r="I9" s="137"/>
      <c r="J9" s="137"/>
      <c r="K9" s="137"/>
      <c r="L9" s="137"/>
      <c r="M9" s="137"/>
      <c r="N9" s="137"/>
      <c r="O9" s="67" t="s">
        <v>4</v>
      </c>
      <c r="P9" s="56"/>
      <c r="Q9" s="85" t="s">
        <v>126</v>
      </c>
      <c r="S9" s="42"/>
      <c r="T9" s="32"/>
      <c r="U9" s="32"/>
      <c r="V9" s="32"/>
      <c r="W9" s="32"/>
      <c r="X9" s="44"/>
      <c r="Y9" s="44"/>
      <c r="Z9" s="44"/>
      <c r="AA9" s="44"/>
      <c r="AB9" s="47"/>
      <c r="AC9" s="44"/>
    </row>
    <row r="10" spans="2:29" ht="15" customHeight="1" x14ac:dyDescent="0.35">
      <c r="B10" s="190"/>
      <c r="C10" s="66">
        <v>8</v>
      </c>
      <c r="D10" s="103" t="s">
        <v>41</v>
      </c>
      <c r="E10" s="137"/>
      <c r="F10" s="137"/>
      <c r="G10" s="137"/>
      <c r="H10" s="137"/>
      <c r="I10" s="137"/>
      <c r="J10" s="137"/>
      <c r="K10" s="137"/>
      <c r="L10" s="137"/>
      <c r="M10" s="137"/>
      <c r="N10" s="137"/>
      <c r="O10" s="67" t="s">
        <v>4</v>
      </c>
      <c r="P10" s="56"/>
      <c r="Q10" s="85" t="s">
        <v>140</v>
      </c>
      <c r="S10" s="5"/>
      <c r="T10" s="44"/>
      <c r="U10" s="44"/>
      <c r="V10" s="44"/>
      <c r="W10" s="44"/>
      <c r="X10" s="44"/>
      <c r="Y10" s="44"/>
      <c r="Z10" s="44"/>
      <c r="AA10" s="44"/>
      <c r="AB10" s="47"/>
      <c r="AC10" s="44"/>
    </row>
    <row r="11" spans="2:29" ht="15" customHeight="1" x14ac:dyDescent="0.35">
      <c r="B11" s="190"/>
      <c r="C11" s="66">
        <v>9</v>
      </c>
      <c r="D11" s="103" t="s">
        <v>40</v>
      </c>
      <c r="E11" s="137"/>
      <c r="F11" s="137"/>
      <c r="G11" s="137"/>
      <c r="H11" s="137"/>
      <c r="I11" s="137"/>
      <c r="J11" s="137"/>
      <c r="K11" s="137"/>
      <c r="L11" s="137"/>
      <c r="M11" s="137"/>
      <c r="N11" s="137"/>
      <c r="O11" s="67" t="s">
        <v>4</v>
      </c>
      <c r="P11" s="56"/>
      <c r="Q11" s="85" t="s">
        <v>181</v>
      </c>
      <c r="S11" s="5"/>
      <c r="T11" s="44"/>
      <c r="U11" s="44"/>
      <c r="V11" s="44"/>
      <c r="W11" s="44"/>
      <c r="X11" s="44"/>
      <c r="Y11" s="44"/>
      <c r="Z11" s="44"/>
      <c r="AA11" s="44"/>
      <c r="AB11" s="47"/>
      <c r="AC11" s="44"/>
    </row>
    <row r="12" spans="2:29" ht="15" customHeight="1" x14ac:dyDescent="0.35">
      <c r="B12" s="191"/>
      <c r="C12" s="66">
        <v>10</v>
      </c>
      <c r="D12" s="103" t="s">
        <v>39</v>
      </c>
      <c r="E12" s="137"/>
      <c r="F12" s="137"/>
      <c r="G12" s="137"/>
      <c r="H12" s="137"/>
      <c r="I12" s="137"/>
      <c r="J12" s="137"/>
      <c r="K12" s="137"/>
      <c r="L12" s="137"/>
      <c r="M12" s="137"/>
      <c r="N12" s="137"/>
      <c r="O12" s="67" t="s">
        <v>4</v>
      </c>
      <c r="P12" s="56"/>
      <c r="Q12" s="85" t="s">
        <v>248</v>
      </c>
      <c r="S12" s="5"/>
      <c r="T12" s="44"/>
      <c r="U12" s="44"/>
      <c r="V12" s="44"/>
      <c r="W12" s="44"/>
      <c r="X12" s="44"/>
      <c r="Y12" s="44"/>
      <c r="Z12" s="44"/>
      <c r="AA12" s="44"/>
      <c r="AB12" s="47"/>
      <c r="AC12" s="44"/>
    </row>
    <row r="13" spans="2:29" ht="15" customHeight="1" x14ac:dyDescent="0.35">
      <c r="B13" s="189" t="s">
        <v>157</v>
      </c>
      <c r="C13" s="66">
        <v>11</v>
      </c>
      <c r="D13" s="103" t="s">
        <v>98</v>
      </c>
      <c r="E13" s="146"/>
      <c r="F13" s="146"/>
      <c r="G13" s="146"/>
      <c r="H13" s="146"/>
      <c r="I13" s="146"/>
      <c r="J13" s="146"/>
      <c r="K13" s="146"/>
      <c r="L13" s="146"/>
      <c r="M13" s="146"/>
      <c r="N13" s="146"/>
      <c r="O13" s="67" t="s">
        <v>15</v>
      </c>
      <c r="P13" s="56"/>
      <c r="Q13" s="85" t="s">
        <v>297</v>
      </c>
      <c r="S13" s="5" t="str">
        <f>IF(AND(E13&lt;&gt;"Yes",SUM(E15:E23)&gt;0),"Warning","Ok")</f>
        <v>Ok</v>
      </c>
      <c r="T13" s="44" t="str">
        <f>IF(AND(F13&lt;&gt;"Yes",SUM(F15:F23)&gt;0),"Warning","Ok")</f>
        <v>Ok</v>
      </c>
      <c r="U13" s="44" t="str">
        <f t="shared" ref="U13:AB13" si="0">IF(AND(G13&lt;&gt;"Yes",SUM(G15:G23)&gt;0),"Warning","Ok")</f>
        <v>Ok</v>
      </c>
      <c r="V13" s="44" t="str">
        <f t="shared" si="0"/>
        <v>Ok</v>
      </c>
      <c r="W13" s="44" t="str">
        <f t="shared" si="0"/>
        <v>Ok</v>
      </c>
      <c r="X13" s="44" t="str">
        <f t="shared" si="0"/>
        <v>Ok</v>
      </c>
      <c r="Y13" s="44" t="str">
        <f t="shared" si="0"/>
        <v>Ok</v>
      </c>
      <c r="Z13" s="44" t="str">
        <f t="shared" si="0"/>
        <v>Ok</v>
      </c>
      <c r="AA13" s="44" t="str">
        <f t="shared" si="0"/>
        <v>Ok</v>
      </c>
      <c r="AB13" s="47" t="str">
        <f t="shared" si="0"/>
        <v>Ok</v>
      </c>
      <c r="AC13" s="44" t="s">
        <v>252</v>
      </c>
    </row>
    <row r="14" spans="2:29" ht="15" customHeight="1" x14ac:dyDescent="0.35">
      <c r="B14" s="191"/>
      <c r="C14" s="66">
        <v>12</v>
      </c>
      <c r="D14" s="103" t="s">
        <v>156</v>
      </c>
      <c r="E14" s="146"/>
      <c r="F14" s="146"/>
      <c r="G14" s="146"/>
      <c r="H14" s="146"/>
      <c r="I14" s="146"/>
      <c r="J14" s="146"/>
      <c r="K14" s="146"/>
      <c r="L14" s="146"/>
      <c r="M14" s="146"/>
      <c r="N14" s="146"/>
      <c r="O14" s="67" t="s">
        <v>15</v>
      </c>
      <c r="P14" s="56"/>
      <c r="Q14" s="85" t="s">
        <v>298</v>
      </c>
      <c r="S14" s="5"/>
      <c r="T14" s="44"/>
      <c r="U14" s="44"/>
      <c r="V14" s="44"/>
      <c r="W14" s="44"/>
      <c r="X14" s="44"/>
      <c r="Y14" s="44"/>
      <c r="Z14" s="44"/>
      <c r="AA14" s="44"/>
      <c r="AB14" s="47"/>
      <c r="AC14" s="44"/>
    </row>
    <row r="15" spans="2:29" ht="15" customHeight="1" x14ac:dyDescent="0.35">
      <c r="B15" s="189" t="s">
        <v>96</v>
      </c>
      <c r="C15" s="66">
        <v>13</v>
      </c>
      <c r="D15" s="103" t="s">
        <v>69</v>
      </c>
      <c r="E15" s="137"/>
      <c r="F15" s="137"/>
      <c r="G15" s="137"/>
      <c r="H15" s="137"/>
      <c r="I15" s="137"/>
      <c r="J15" s="137"/>
      <c r="K15" s="137"/>
      <c r="L15" s="137"/>
      <c r="M15" s="137"/>
      <c r="N15" s="137"/>
      <c r="O15" s="67" t="s">
        <v>4</v>
      </c>
      <c r="P15" s="56"/>
      <c r="Q15" s="85" t="s">
        <v>299</v>
      </c>
      <c r="S15" s="5"/>
      <c r="T15" s="44"/>
      <c r="U15" s="44"/>
      <c r="V15" s="44"/>
      <c r="W15" s="44"/>
      <c r="X15" s="44"/>
      <c r="Y15" s="44"/>
      <c r="Z15" s="44"/>
      <c r="AA15" s="44"/>
      <c r="AB15" s="47"/>
      <c r="AC15" s="44"/>
    </row>
    <row r="16" spans="2:29" ht="15" customHeight="1" x14ac:dyDescent="0.35">
      <c r="B16" s="190"/>
      <c r="C16" s="66">
        <v>14</v>
      </c>
      <c r="D16" s="103" t="s">
        <v>70</v>
      </c>
      <c r="E16" s="137"/>
      <c r="F16" s="137"/>
      <c r="G16" s="137"/>
      <c r="H16" s="137"/>
      <c r="I16" s="137"/>
      <c r="J16" s="137"/>
      <c r="K16" s="137"/>
      <c r="L16" s="137"/>
      <c r="M16" s="137"/>
      <c r="N16" s="137"/>
      <c r="O16" s="67" t="s">
        <v>4</v>
      </c>
      <c r="P16" s="56"/>
      <c r="Q16" s="85" t="s">
        <v>300</v>
      </c>
      <c r="S16" s="5"/>
      <c r="T16" s="44"/>
      <c r="U16" s="44"/>
      <c r="V16" s="44"/>
      <c r="W16" s="44"/>
      <c r="X16" s="44"/>
      <c r="Y16" s="44"/>
      <c r="Z16" s="44"/>
      <c r="AA16" s="44"/>
      <c r="AB16" s="47"/>
      <c r="AC16" s="44"/>
    </row>
    <row r="17" spans="2:29" ht="15" customHeight="1" x14ac:dyDescent="0.35">
      <c r="B17" s="190"/>
      <c r="C17" s="66">
        <v>15</v>
      </c>
      <c r="D17" s="103" t="s">
        <v>71</v>
      </c>
      <c r="E17" s="137"/>
      <c r="F17" s="137"/>
      <c r="G17" s="137"/>
      <c r="H17" s="137"/>
      <c r="I17" s="137"/>
      <c r="J17" s="137"/>
      <c r="K17" s="137"/>
      <c r="L17" s="137"/>
      <c r="M17" s="137"/>
      <c r="N17" s="137"/>
      <c r="O17" s="67" t="s">
        <v>4</v>
      </c>
      <c r="P17" s="56"/>
      <c r="Q17" s="85" t="s">
        <v>301</v>
      </c>
      <c r="S17" s="5"/>
      <c r="T17" s="44"/>
      <c r="U17" s="44"/>
      <c r="V17" s="44"/>
      <c r="W17" s="44"/>
      <c r="X17" s="44"/>
      <c r="Y17" s="44"/>
      <c r="Z17" s="44"/>
      <c r="AA17" s="44"/>
      <c r="AB17" s="47"/>
      <c r="AC17" s="44"/>
    </row>
    <row r="18" spans="2:29" ht="15" customHeight="1" x14ac:dyDescent="0.35">
      <c r="B18" s="190"/>
      <c r="C18" s="66">
        <v>16</v>
      </c>
      <c r="D18" s="103" t="s">
        <v>72</v>
      </c>
      <c r="E18" s="137"/>
      <c r="F18" s="137"/>
      <c r="G18" s="137"/>
      <c r="H18" s="137"/>
      <c r="I18" s="137"/>
      <c r="J18" s="137"/>
      <c r="K18" s="137"/>
      <c r="L18" s="137"/>
      <c r="M18" s="137"/>
      <c r="N18" s="137"/>
      <c r="O18" s="67" t="s">
        <v>4</v>
      </c>
      <c r="P18" s="56"/>
      <c r="Q18" s="85" t="s">
        <v>302</v>
      </c>
      <c r="S18" s="5"/>
      <c r="T18" s="44"/>
      <c r="U18" s="44"/>
      <c r="V18" s="44"/>
      <c r="W18" s="44"/>
      <c r="X18" s="44"/>
      <c r="Y18" s="44"/>
      <c r="Z18" s="44"/>
      <c r="AA18" s="44"/>
      <c r="AB18" s="47"/>
      <c r="AC18" s="44"/>
    </row>
    <row r="19" spans="2:29" ht="15" customHeight="1" x14ac:dyDescent="0.35">
      <c r="B19" s="190"/>
      <c r="C19" s="66">
        <v>17</v>
      </c>
      <c r="D19" s="103" t="s">
        <v>73</v>
      </c>
      <c r="E19" s="137"/>
      <c r="F19" s="137"/>
      <c r="G19" s="137"/>
      <c r="H19" s="137"/>
      <c r="I19" s="137"/>
      <c r="J19" s="137"/>
      <c r="K19" s="137"/>
      <c r="L19" s="137"/>
      <c r="M19" s="137"/>
      <c r="N19" s="137"/>
      <c r="O19" s="67" t="s">
        <v>4</v>
      </c>
      <c r="P19" s="56"/>
      <c r="Q19" s="85" t="s">
        <v>303</v>
      </c>
      <c r="S19" s="5"/>
      <c r="T19" s="44"/>
      <c r="U19" s="44"/>
      <c r="V19" s="44"/>
      <c r="W19" s="44"/>
      <c r="X19" s="44"/>
      <c r="Y19" s="44"/>
      <c r="Z19" s="44"/>
      <c r="AA19" s="44"/>
      <c r="AB19" s="47"/>
      <c r="AC19" s="44"/>
    </row>
    <row r="20" spans="2:29" ht="15" customHeight="1" x14ac:dyDescent="0.35">
      <c r="B20" s="190"/>
      <c r="C20" s="66">
        <v>18</v>
      </c>
      <c r="D20" s="103" t="s">
        <v>74</v>
      </c>
      <c r="E20" s="137"/>
      <c r="F20" s="137"/>
      <c r="G20" s="137"/>
      <c r="H20" s="137"/>
      <c r="I20" s="137"/>
      <c r="J20" s="137"/>
      <c r="K20" s="137"/>
      <c r="L20" s="137"/>
      <c r="M20" s="137"/>
      <c r="N20" s="137"/>
      <c r="O20" s="67" t="s">
        <v>4</v>
      </c>
      <c r="P20" s="56"/>
      <c r="Q20" s="85" t="s">
        <v>304</v>
      </c>
      <c r="S20" s="5"/>
      <c r="T20" s="44"/>
      <c r="U20" s="44"/>
      <c r="V20" s="44"/>
      <c r="W20" s="44"/>
      <c r="X20" s="44"/>
      <c r="Y20" s="44"/>
      <c r="Z20" s="44"/>
      <c r="AA20" s="44"/>
      <c r="AB20" s="47"/>
      <c r="AC20" s="44"/>
    </row>
    <row r="21" spans="2:29" ht="15" customHeight="1" x14ac:dyDescent="0.35">
      <c r="B21" s="190"/>
      <c r="C21" s="66">
        <v>19</v>
      </c>
      <c r="D21" s="103" t="s">
        <v>75</v>
      </c>
      <c r="E21" s="137"/>
      <c r="F21" s="137"/>
      <c r="G21" s="137"/>
      <c r="H21" s="137"/>
      <c r="I21" s="137"/>
      <c r="J21" s="137"/>
      <c r="K21" s="137"/>
      <c r="L21" s="137"/>
      <c r="M21" s="137"/>
      <c r="N21" s="137"/>
      <c r="O21" s="67" t="s">
        <v>4</v>
      </c>
      <c r="P21" s="56"/>
      <c r="Q21" s="85" t="s">
        <v>305</v>
      </c>
      <c r="S21" s="5"/>
      <c r="T21" s="44"/>
      <c r="U21" s="44"/>
      <c r="V21" s="44"/>
      <c r="W21" s="44"/>
      <c r="X21" s="44"/>
      <c r="Y21" s="44"/>
      <c r="Z21" s="44"/>
      <c r="AA21" s="44"/>
      <c r="AB21" s="47"/>
      <c r="AC21" s="44"/>
    </row>
    <row r="22" spans="2:29" ht="15" customHeight="1" x14ac:dyDescent="0.35">
      <c r="B22" s="190"/>
      <c r="C22" s="66">
        <v>20</v>
      </c>
      <c r="D22" s="80" t="s">
        <v>64</v>
      </c>
      <c r="E22" s="137"/>
      <c r="F22" s="137"/>
      <c r="G22" s="137"/>
      <c r="H22" s="137"/>
      <c r="I22" s="137"/>
      <c r="J22" s="137"/>
      <c r="K22" s="137"/>
      <c r="L22" s="137"/>
      <c r="M22" s="137"/>
      <c r="N22" s="137"/>
      <c r="O22" s="67" t="s">
        <v>5</v>
      </c>
      <c r="P22" s="56"/>
      <c r="Q22" s="85" t="s">
        <v>306</v>
      </c>
      <c r="S22" s="74" t="str">
        <f>IF(AND(E23&lt;&gt;"",(E22*MIN(E23,100)/7.48)&gt;0.25*E28),"Warning","Ok")</f>
        <v>Ok</v>
      </c>
      <c r="T22" s="75" t="str">
        <f>IF(AND(F23&lt;&gt;"",(E22*MIN(F23,100)/7.48)&gt;0.25*F28),"Warning","Ok")</f>
        <v>Ok</v>
      </c>
      <c r="U22" s="75" t="str">
        <f t="shared" ref="U22:AA22" si="1">IF(AND(G23&lt;&gt;"",(F22*MIN(G23,100)/7.48)&gt;0.25*G28),"Warning","Ok")</f>
        <v>Ok</v>
      </c>
      <c r="V22" s="75" t="str">
        <f t="shared" si="1"/>
        <v>Ok</v>
      </c>
      <c r="W22" s="75" t="str">
        <f t="shared" si="1"/>
        <v>Ok</v>
      </c>
      <c r="X22" s="75" t="str">
        <f t="shared" si="1"/>
        <v>Ok</v>
      </c>
      <c r="Y22" s="75" t="str">
        <f t="shared" si="1"/>
        <v>Ok</v>
      </c>
      <c r="Z22" s="75" t="str">
        <f t="shared" si="1"/>
        <v>Ok</v>
      </c>
      <c r="AA22" s="75" t="str">
        <f t="shared" si="1"/>
        <v>Ok</v>
      </c>
      <c r="AB22" s="76" t="str">
        <f>IF(AND(N23&lt;&gt;"",(M22*MIN(N23,100)/7.48)&gt;0.25*N28),"Warning","Ok")</f>
        <v>Ok</v>
      </c>
      <c r="AC22" s="44" t="s">
        <v>254</v>
      </c>
    </row>
    <row r="23" spans="2:29" ht="15" customHeight="1" x14ac:dyDescent="0.35">
      <c r="B23" s="191"/>
      <c r="C23" s="66">
        <v>21</v>
      </c>
      <c r="D23" s="80" t="s">
        <v>13</v>
      </c>
      <c r="E23" s="137"/>
      <c r="F23" s="137"/>
      <c r="G23" s="137"/>
      <c r="H23" s="137"/>
      <c r="I23" s="137"/>
      <c r="J23" s="137"/>
      <c r="K23" s="137"/>
      <c r="L23" s="137"/>
      <c r="M23" s="137"/>
      <c r="N23" s="137"/>
      <c r="O23" s="67" t="s">
        <v>14</v>
      </c>
      <c r="P23" s="56"/>
      <c r="Q23" s="85" t="s">
        <v>307</v>
      </c>
      <c r="S23" s="74" t="str">
        <f>IF(E23&gt;100,"Warning","Ok")</f>
        <v>Ok</v>
      </c>
      <c r="T23" s="75" t="str">
        <f t="shared" ref="T23:AB23" si="2">IF(F23&gt;100,"Warning","Ok")</f>
        <v>Ok</v>
      </c>
      <c r="U23" s="75" t="str">
        <f t="shared" si="2"/>
        <v>Ok</v>
      </c>
      <c r="V23" s="75" t="str">
        <f t="shared" si="2"/>
        <v>Ok</v>
      </c>
      <c r="W23" s="75" t="str">
        <f t="shared" si="2"/>
        <v>Ok</v>
      </c>
      <c r="X23" s="75" t="str">
        <f t="shared" si="2"/>
        <v>Ok</v>
      </c>
      <c r="Y23" s="75" t="str">
        <f t="shared" si="2"/>
        <v>Ok</v>
      </c>
      <c r="Z23" s="75" t="str">
        <f t="shared" si="2"/>
        <v>Ok</v>
      </c>
      <c r="AA23" s="75" t="str">
        <f t="shared" si="2"/>
        <v>Ok</v>
      </c>
      <c r="AB23" s="76" t="str">
        <f t="shared" si="2"/>
        <v>Ok</v>
      </c>
      <c r="AC23" s="44" t="s">
        <v>92</v>
      </c>
    </row>
    <row r="24" spans="2:29" ht="15" customHeight="1" x14ac:dyDescent="0.35">
      <c r="B24" s="189" t="s">
        <v>77</v>
      </c>
      <c r="C24" s="66">
        <v>22</v>
      </c>
      <c r="D24" s="80" t="s">
        <v>18</v>
      </c>
      <c r="E24" s="69">
        <f t="shared" ref="E24" si="3">ROUND(SUM(E6:E21),0)</f>
        <v>0</v>
      </c>
      <c r="F24" s="69">
        <f t="shared" ref="F24:N24" si="4">ROUND(SUM(F6:F21),0)</f>
        <v>0</v>
      </c>
      <c r="G24" s="69">
        <f t="shared" si="4"/>
        <v>0</v>
      </c>
      <c r="H24" s="69">
        <f t="shared" si="4"/>
        <v>0</v>
      </c>
      <c r="I24" s="69">
        <f t="shared" si="4"/>
        <v>0</v>
      </c>
      <c r="J24" s="69">
        <f t="shared" si="4"/>
        <v>0</v>
      </c>
      <c r="K24" s="69">
        <f t="shared" si="4"/>
        <v>0</v>
      </c>
      <c r="L24" s="69">
        <f t="shared" si="4"/>
        <v>0</v>
      </c>
      <c r="M24" s="69">
        <f t="shared" si="4"/>
        <v>0</v>
      </c>
      <c r="N24" s="69">
        <f t="shared" si="4"/>
        <v>0</v>
      </c>
      <c r="O24" s="67" t="s">
        <v>4</v>
      </c>
      <c r="P24" s="56"/>
      <c r="Q24" s="85" t="s">
        <v>243</v>
      </c>
      <c r="S24" s="5"/>
      <c r="T24" s="44"/>
      <c r="U24" s="44"/>
      <c r="V24" s="44"/>
      <c r="W24" s="44"/>
      <c r="X24" s="44"/>
      <c r="Y24" s="44"/>
      <c r="Z24" s="44"/>
      <c r="AA24" s="44"/>
      <c r="AB24" s="47"/>
      <c r="AC24" s="44"/>
    </row>
    <row r="25" spans="2:29" ht="15" customHeight="1" x14ac:dyDescent="0.35">
      <c r="B25" s="190"/>
      <c r="C25" s="66">
        <v>23</v>
      </c>
      <c r="D25" s="103" t="s">
        <v>79</v>
      </c>
      <c r="E25" s="68">
        <f t="shared" ref="E25" si="5">IF(OR(SUM(E6:E12)=0,E4="-"),0,ROUND((0.9*(E6)+0.3*(E7+E12)+0.1*(E8+E9)+0.14*(E10)+0.23*(E11))/(SUM(E6:E12)),2))</f>
        <v>0</v>
      </c>
      <c r="F25" s="68">
        <f t="shared" ref="F25:N25" si="6">IF(OR(SUM(F6:F12)=0,F4="-"),0,ROUND((0.9*(F6)+0.3*(F7+F12)+0.1*(F8+F9)+0.14*(F10)+0.23*(F11))/(SUM(F6:F12)),2))</f>
        <v>0</v>
      </c>
      <c r="G25" s="68">
        <f t="shared" si="6"/>
        <v>0</v>
      </c>
      <c r="H25" s="68">
        <f t="shared" si="6"/>
        <v>0</v>
      </c>
      <c r="I25" s="68">
        <f t="shared" si="6"/>
        <v>0</v>
      </c>
      <c r="J25" s="68">
        <f t="shared" si="6"/>
        <v>0</v>
      </c>
      <c r="K25" s="68">
        <f t="shared" si="6"/>
        <v>0</v>
      </c>
      <c r="L25" s="68">
        <f t="shared" si="6"/>
        <v>0</v>
      </c>
      <c r="M25" s="68">
        <f t="shared" si="6"/>
        <v>0</v>
      </c>
      <c r="N25" s="68">
        <f t="shared" si="6"/>
        <v>0</v>
      </c>
      <c r="O25" s="67" t="s">
        <v>12</v>
      </c>
      <c r="P25" s="56"/>
      <c r="Q25" s="85" t="s">
        <v>308</v>
      </c>
      <c r="S25" s="5"/>
      <c r="T25" s="44"/>
      <c r="U25" s="44"/>
      <c r="V25" s="44"/>
      <c r="W25" s="44"/>
      <c r="X25" s="44"/>
      <c r="Y25" s="44"/>
      <c r="Z25" s="44"/>
      <c r="AA25" s="44"/>
      <c r="AB25" s="47"/>
      <c r="AC25" s="44"/>
    </row>
    <row r="26" spans="2:29" ht="15" customHeight="1" x14ac:dyDescent="0.35">
      <c r="B26" s="190"/>
      <c r="C26" s="66">
        <v>24</v>
      </c>
      <c r="D26" s="103" t="s">
        <v>80</v>
      </c>
      <c r="E26" s="68">
        <f t="shared" ref="E26" si="7">IF(SUM(E15:E21)=0,0,ROUND((0.9*(E15)+0.3*(E16+E21)+0.1*(E17+E18)+0.14*(E19)+0.23*(E20))/(SUM(E15:E21)),2))</f>
        <v>0</v>
      </c>
      <c r="F26" s="68">
        <f t="shared" ref="F26:N26" si="8">IF(SUM(F15:F21)=0,0,ROUND((0.9*(F15)+0.3*(F16+F21)+0.1*(F17+F18)+0.14*(F19)+0.23*(F20))/(SUM(F15:F21)),2))</f>
        <v>0</v>
      </c>
      <c r="G26" s="68">
        <f t="shared" si="8"/>
        <v>0</v>
      </c>
      <c r="H26" s="68">
        <f t="shared" si="8"/>
        <v>0</v>
      </c>
      <c r="I26" s="68">
        <f t="shared" si="8"/>
        <v>0</v>
      </c>
      <c r="J26" s="68">
        <f t="shared" si="8"/>
        <v>0</v>
      </c>
      <c r="K26" s="68">
        <f t="shared" si="8"/>
        <v>0</v>
      </c>
      <c r="L26" s="68">
        <f t="shared" si="8"/>
        <v>0</v>
      </c>
      <c r="M26" s="68">
        <f t="shared" si="8"/>
        <v>0</v>
      </c>
      <c r="N26" s="68">
        <f t="shared" si="8"/>
        <v>0</v>
      </c>
      <c r="O26" s="67" t="s">
        <v>12</v>
      </c>
      <c r="P26" s="56"/>
      <c r="Q26" s="85" t="s">
        <v>309</v>
      </c>
      <c r="S26" s="5"/>
      <c r="T26" s="44"/>
      <c r="U26" s="44"/>
      <c r="V26" s="44"/>
      <c r="W26" s="44"/>
      <c r="X26" s="44"/>
      <c r="Y26" s="44"/>
      <c r="Z26" s="44"/>
      <c r="AA26" s="44"/>
      <c r="AB26" s="47"/>
      <c r="AC26" s="44"/>
    </row>
    <row r="27" spans="2:29" ht="15" customHeight="1" x14ac:dyDescent="0.35">
      <c r="B27" s="190"/>
      <c r="C27" s="66">
        <v>25</v>
      </c>
      <c r="D27" s="103" t="s">
        <v>83</v>
      </c>
      <c r="E27" s="68">
        <f t="shared" ref="E27" si="9">IF(E24=0,0,ROUND((E25*(SUM(E6:E12))+E26*(SUM(E15:E21)))/E24,2))</f>
        <v>0</v>
      </c>
      <c r="F27" s="68">
        <f t="shared" ref="F27:N27" si="10">IF(F24=0,0,ROUND((F25*(SUM(F6:F12))+F26*(SUM(F15:F21)))/F24,2))</f>
        <v>0</v>
      </c>
      <c r="G27" s="68">
        <f t="shared" si="10"/>
        <v>0</v>
      </c>
      <c r="H27" s="68">
        <f t="shared" si="10"/>
        <v>0</v>
      </c>
      <c r="I27" s="68">
        <f t="shared" si="10"/>
        <v>0</v>
      </c>
      <c r="J27" s="68">
        <f t="shared" si="10"/>
        <v>0</v>
      </c>
      <c r="K27" s="68">
        <f t="shared" si="10"/>
        <v>0</v>
      </c>
      <c r="L27" s="68">
        <f t="shared" si="10"/>
        <v>0</v>
      </c>
      <c r="M27" s="68">
        <f t="shared" si="10"/>
        <v>0</v>
      </c>
      <c r="N27" s="68">
        <f t="shared" si="10"/>
        <v>0</v>
      </c>
      <c r="O27" s="67" t="s">
        <v>12</v>
      </c>
      <c r="P27" s="56"/>
      <c r="Q27" s="148" t="s">
        <v>310</v>
      </c>
      <c r="S27" s="5"/>
      <c r="T27" s="44"/>
      <c r="U27" s="44"/>
      <c r="V27" s="44"/>
      <c r="W27" s="44"/>
      <c r="X27" s="44"/>
      <c r="Y27" s="44"/>
      <c r="Z27" s="44"/>
      <c r="AA27" s="44"/>
      <c r="AB27" s="47"/>
      <c r="AC27" s="44"/>
    </row>
    <row r="28" spans="2:29" ht="15" customHeight="1" x14ac:dyDescent="0.35">
      <c r="B28" s="191"/>
      <c r="C28" s="66">
        <v>26</v>
      </c>
      <c r="D28" s="103" t="s">
        <v>16</v>
      </c>
      <c r="E28" s="69">
        <f t="shared" ref="E28" si="11">IF(E4="-",0,ROUND(E4/12*E24*E27,0))</f>
        <v>0</v>
      </c>
      <c r="F28" s="69">
        <f t="shared" ref="F28:N28" si="12">IF(F4="-",0,ROUND(F4/12*F24*F27,0))</f>
        <v>0</v>
      </c>
      <c r="G28" s="69">
        <f t="shared" si="12"/>
        <v>0</v>
      </c>
      <c r="H28" s="69">
        <f t="shared" si="12"/>
        <v>0</v>
      </c>
      <c r="I28" s="69">
        <f t="shared" si="12"/>
        <v>0</v>
      </c>
      <c r="J28" s="69">
        <f t="shared" si="12"/>
        <v>0</v>
      </c>
      <c r="K28" s="69">
        <f t="shared" si="12"/>
        <v>0</v>
      </c>
      <c r="L28" s="69">
        <f t="shared" si="12"/>
        <v>0</v>
      </c>
      <c r="M28" s="69">
        <f t="shared" si="12"/>
        <v>0</v>
      </c>
      <c r="N28" s="69">
        <f t="shared" si="12"/>
        <v>0</v>
      </c>
      <c r="O28" s="67" t="s">
        <v>2</v>
      </c>
      <c r="P28" s="56"/>
      <c r="Q28" s="85" t="s">
        <v>311</v>
      </c>
      <c r="S28" s="5"/>
      <c r="T28" s="44"/>
      <c r="U28" s="44"/>
      <c r="V28" s="44"/>
      <c r="W28" s="44"/>
      <c r="X28" s="44"/>
      <c r="Y28" s="44"/>
      <c r="Z28" s="44"/>
      <c r="AA28" s="44"/>
      <c r="AB28" s="47"/>
      <c r="AC28" s="44"/>
    </row>
    <row r="29" spans="2:29" ht="15" customHeight="1" x14ac:dyDescent="0.35">
      <c r="B29" s="189" t="s">
        <v>97</v>
      </c>
      <c r="C29" s="66">
        <v>27</v>
      </c>
      <c r="D29" s="103" t="s">
        <v>24</v>
      </c>
      <c r="E29" s="69">
        <f t="shared" ref="E29" si="13">E15</f>
        <v>0</v>
      </c>
      <c r="F29" s="69">
        <f t="shared" ref="F29:N29" si="14">F15</f>
        <v>0</v>
      </c>
      <c r="G29" s="69">
        <f t="shared" si="14"/>
        <v>0</v>
      </c>
      <c r="H29" s="69">
        <f t="shared" si="14"/>
        <v>0</v>
      </c>
      <c r="I29" s="69">
        <f t="shared" si="14"/>
        <v>0</v>
      </c>
      <c r="J29" s="69">
        <f t="shared" si="14"/>
        <v>0</v>
      </c>
      <c r="K29" s="69">
        <f t="shared" si="14"/>
        <v>0</v>
      </c>
      <c r="L29" s="69">
        <f t="shared" si="14"/>
        <v>0</v>
      </c>
      <c r="M29" s="69">
        <f t="shared" si="14"/>
        <v>0</v>
      </c>
      <c r="N29" s="69">
        <f t="shared" si="14"/>
        <v>0</v>
      </c>
      <c r="O29" s="67" t="s">
        <v>4</v>
      </c>
      <c r="P29" s="56"/>
      <c r="Q29" s="85" t="s">
        <v>312</v>
      </c>
      <c r="S29" s="5"/>
      <c r="T29" s="44"/>
      <c r="U29" s="44"/>
      <c r="V29" s="44"/>
      <c r="W29" s="44"/>
      <c r="X29" s="44"/>
      <c r="Y29" s="44"/>
      <c r="Z29" s="44"/>
      <c r="AA29" s="44"/>
      <c r="AB29" s="47"/>
      <c r="AC29" s="44"/>
    </row>
    <row r="30" spans="2:29" ht="15" customHeight="1" x14ac:dyDescent="0.35">
      <c r="B30" s="190"/>
      <c r="C30" s="66">
        <v>28</v>
      </c>
      <c r="D30" s="103" t="s">
        <v>25</v>
      </c>
      <c r="E30" s="69">
        <f t="shared" ref="E30" si="15">SUM(E16:E21)</f>
        <v>0</v>
      </c>
      <c r="F30" s="69">
        <f t="shared" ref="F30:N30" si="16">SUM(F16:F21)</f>
        <v>0</v>
      </c>
      <c r="G30" s="69">
        <f t="shared" si="16"/>
        <v>0</v>
      </c>
      <c r="H30" s="69">
        <f t="shared" si="16"/>
        <v>0</v>
      </c>
      <c r="I30" s="69">
        <f t="shared" si="16"/>
        <v>0</v>
      </c>
      <c r="J30" s="69">
        <f t="shared" si="16"/>
        <v>0</v>
      </c>
      <c r="K30" s="69">
        <f t="shared" si="16"/>
        <v>0</v>
      </c>
      <c r="L30" s="69">
        <f t="shared" si="16"/>
        <v>0</v>
      </c>
      <c r="M30" s="69">
        <f t="shared" si="16"/>
        <v>0</v>
      </c>
      <c r="N30" s="69">
        <f t="shared" si="16"/>
        <v>0</v>
      </c>
      <c r="O30" s="67" t="s">
        <v>4</v>
      </c>
      <c r="P30" s="56"/>
      <c r="Q30" s="85" t="s">
        <v>317</v>
      </c>
      <c r="S30" s="5"/>
      <c r="T30" s="44"/>
      <c r="U30" s="44"/>
      <c r="V30" s="44"/>
      <c r="W30" s="44"/>
      <c r="X30" s="44"/>
      <c r="Y30" s="44"/>
      <c r="Z30" s="44"/>
      <c r="AA30" s="44"/>
      <c r="AB30" s="47"/>
      <c r="AC30" s="44"/>
    </row>
    <row r="31" spans="2:29" ht="15" customHeight="1" x14ac:dyDescent="0.35">
      <c r="B31" s="190"/>
      <c r="C31" s="66">
        <v>29</v>
      </c>
      <c r="D31" s="103" t="s">
        <v>240</v>
      </c>
      <c r="E31" s="70" t="str">
        <f t="shared" ref="E31:N31" si="17">IF(OR(E29=0,E30=0),"n/a",IF((E29/E30)&gt;4,"&gt;4.0",ROUND((E29/E30),1)))</f>
        <v>n/a</v>
      </c>
      <c r="F31" s="70" t="str">
        <f t="shared" si="17"/>
        <v>n/a</v>
      </c>
      <c r="G31" s="70" t="str">
        <f t="shared" si="17"/>
        <v>n/a</v>
      </c>
      <c r="H31" s="70" t="str">
        <f t="shared" si="17"/>
        <v>n/a</v>
      </c>
      <c r="I31" s="70" t="str">
        <f t="shared" si="17"/>
        <v>n/a</v>
      </c>
      <c r="J31" s="70" t="str">
        <f t="shared" si="17"/>
        <v>n/a</v>
      </c>
      <c r="K31" s="70" t="str">
        <f t="shared" si="17"/>
        <v>n/a</v>
      </c>
      <c r="L31" s="70" t="str">
        <f t="shared" si="17"/>
        <v>n/a</v>
      </c>
      <c r="M31" s="70" t="str">
        <f t="shared" si="17"/>
        <v>n/a</v>
      </c>
      <c r="N31" s="70" t="str">
        <f t="shared" si="17"/>
        <v>n/a</v>
      </c>
      <c r="O31" s="48" t="s">
        <v>9</v>
      </c>
      <c r="P31" s="56"/>
      <c r="Q31" s="85" t="s">
        <v>244</v>
      </c>
      <c r="S31" s="5"/>
      <c r="T31" s="44"/>
      <c r="U31" s="44"/>
      <c r="V31" s="44"/>
      <c r="W31" s="44"/>
      <c r="X31" s="44"/>
      <c r="Y31" s="44"/>
      <c r="Z31" s="44"/>
      <c r="AA31" s="44"/>
      <c r="AB31" s="47"/>
      <c r="AC31" s="44"/>
    </row>
    <row r="32" spans="2:29" ht="15" customHeight="1" x14ac:dyDescent="0.35">
      <c r="B32" s="190"/>
      <c r="C32" s="66">
        <v>30</v>
      </c>
      <c r="D32" s="103" t="s">
        <v>68</v>
      </c>
      <c r="E32" s="70">
        <f>IF(OR(E31="&gt;4.0",E31="n/a"),1,
(IF(E16="",FALSE,VLOOKUP(E31,Ref_DCV!$B$47:$F$87,5,FALSE)*(E16/E30)))+
(IF(E17="",FALSE,VLOOKUP(E31,Ref_DCV!$B$47:$F$87,2,FALSE)*(E17/E30)))+
(IF(E18="",FALSE,VLOOKUP(E31,Ref_DCV!$B$47:$F$87,2,FALSE)*(E18/E30)))+
(IF(E19="",FALSE,VLOOKUP(E31,Ref_DCV!$B$47:$F$87,3,FALSE)*(E19/E30)))+
(IF(E20="",FALSE,VLOOKUP(E31,Ref_DCV!$B$47:$F$87,4,FALSE)*(E20/E30)))+
(IF(E21="",FALSE,VLOOKUP(E31,Ref_DCV!$B$47:$F$87,5,FALSE)*(E21/E30))))</f>
        <v>1</v>
      </c>
      <c r="F32" s="70">
        <f>IF(OR(F31="&gt;4.0",F31="n/a"),1,
(IF(F16="",FALSE,VLOOKUP(F31,Ref_DCV!$B$47:$F$87,5,FALSE)*(F16/F30)))+
(IF(F17="",FALSE,VLOOKUP(F31,Ref_DCV!$B$47:$F$87,2,FALSE)*(F17/F30)))+
(IF(F18="",FALSE,VLOOKUP(F31,Ref_DCV!$B$47:$F$87,2,FALSE)*(F18/F30)))+
(IF(F19="",FALSE,VLOOKUP(F31,Ref_DCV!$B$47:$F$87,3,FALSE)*(F19/F30)))+
(IF(F20="",FALSE,VLOOKUP(F31,Ref_DCV!$B$47:$F$87,4,FALSE)*(F20/F30)))+
(IF(F21="",FALSE,VLOOKUP(F31,Ref_DCV!$B$47:$F$87,5,FALSE)*(F21/F30))))</f>
        <v>1</v>
      </c>
      <c r="G32" s="70">
        <f>IF(OR(G31="&gt;4.0",G31="n/a"),1,
(IF(G16="",FALSE,VLOOKUP(G31,Ref_DCV!$B$47:$F$87,5,FALSE)*(G16/G30)))+
(IF(G17="",FALSE,VLOOKUP(G31,Ref_DCV!$B$47:$F$87,2,FALSE)*(G17/G30)))+
(IF(G18="",FALSE,VLOOKUP(G31,Ref_DCV!$B$47:$F$87,2,FALSE)*(G18/G30)))+
(IF(G19="",FALSE,VLOOKUP(G31,Ref_DCV!$B$47:$F$87,3,FALSE)*(G19/G30)))+
(IF(G20="",FALSE,VLOOKUP(G31,Ref_DCV!$B$47:$F$87,4,FALSE)*(G20/G30)))+
(IF(G21="",FALSE,VLOOKUP(G31,Ref_DCV!$B$47:$F$87,5,FALSE)*(G21/G30))))</f>
        <v>1</v>
      </c>
      <c r="H32" s="70">
        <f>IF(OR(H31="&gt;4.0",H31="n/a"),1,
(IF(H16="",FALSE,VLOOKUP(H31,Ref_DCV!$B$47:$F$87,5,FALSE)*(H16/H30)))+
(IF(H17="",FALSE,VLOOKUP(H31,Ref_DCV!$B$47:$F$87,2,FALSE)*(H17/H30)))+
(IF(H18="",FALSE,VLOOKUP(H31,Ref_DCV!$B$47:$F$87,2,FALSE)*(H18/H30)))+
(IF(H19="",FALSE,VLOOKUP(H31,Ref_DCV!$B$47:$F$87,3,FALSE)*(H19/H30)))+
(IF(H20="",FALSE,VLOOKUP(H31,Ref_DCV!$B$47:$F$87,4,FALSE)*(H20/H30)))+
(IF(H21="",FALSE,VLOOKUP(H31,Ref_DCV!$B$47:$F$87,5,FALSE)*(H21/H30))))</f>
        <v>1</v>
      </c>
      <c r="I32" s="70">
        <f>IF(OR(I31="&gt;4.0",I31="n/a"),1,
(IF(I16="",FALSE,VLOOKUP(I31,Ref_DCV!$B$47:$F$87,5,FALSE)*(I16/I30)))+
(IF(I17="",FALSE,VLOOKUP(I31,Ref_DCV!$B$47:$F$87,2,FALSE)*(I17/I30)))+
(IF(I18="",FALSE,VLOOKUP(I31,Ref_DCV!$B$47:$F$87,2,FALSE)*(I18/I30)))+
(IF(I19="",FALSE,VLOOKUP(I31,Ref_DCV!$B$47:$F$87,3,FALSE)*(I19/I30)))+
(IF(I20="",FALSE,VLOOKUP(I31,Ref_DCV!$B$47:$F$87,4,FALSE)*(I20/I30)))+
(IF(I21="",FALSE,VLOOKUP(I31,Ref_DCV!$B$47:$F$87,5,FALSE)*(I21/I30))))</f>
        <v>1</v>
      </c>
      <c r="J32" s="70">
        <f>IF(OR(J31="&gt;4.0",J31="n/a"),1,
(IF(J16="",FALSE,VLOOKUP(J31,Ref_DCV!$B$47:$F$87,5,FALSE)*(J16/J30)))+
(IF(J17="",FALSE,VLOOKUP(J31,Ref_DCV!$B$47:$F$87,2,FALSE)*(J17/J30)))+
(IF(J18="",FALSE,VLOOKUP(J31,Ref_DCV!$B$47:$F$87,2,FALSE)*(J18/J30)))+
(IF(J19="",FALSE,VLOOKUP(J31,Ref_DCV!$B$47:$F$87,3,FALSE)*(J19/J30)))+
(IF(J20="",FALSE,VLOOKUP(J31,Ref_DCV!$B$47:$F$87,4,FALSE)*(J20/J30)))+
(IF(J21="",FALSE,VLOOKUP(J31,Ref_DCV!$B$47:$F$87,5,FALSE)*(J21/J30))))</f>
        <v>1</v>
      </c>
      <c r="K32" s="70">
        <f>IF(OR(K31="&gt;4.0",K31="n/a"),1,
(IF(K16="",FALSE,VLOOKUP(K31,Ref_DCV!$B$47:$F$87,5,FALSE)*(K16/K30)))+
(IF(K17="",FALSE,VLOOKUP(K31,Ref_DCV!$B$47:$F$87,2,FALSE)*(K17/K30)))+
(IF(K18="",FALSE,VLOOKUP(K31,Ref_DCV!$B$47:$F$87,2,FALSE)*(K18/K30)))+
(IF(K19="",FALSE,VLOOKUP(K31,Ref_DCV!$B$47:$F$87,3,FALSE)*(K19/K30)))+
(IF(K20="",FALSE,VLOOKUP(K31,Ref_DCV!$B$47:$F$87,4,FALSE)*(K20/K30)))+
(IF(K21="",FALSE,VLOOKUP(K31,Ref_DCV!$B$47:$F$87,5,FALSE)*(K21/K30))))</f>
        <v>1</v>
      </c>
      <c r="L32" s="70">
        <f>IF(OR(L31="&gt;4.0",L31="n/a"),1,
(IF(L16="",FALSE,VLOOKUP(L31,Ref_DCV!$B$47:$F$87,5,FALSE)*(L16/L30)))+
(IF(L17="",FALSE,VLOOKUP(L31,Ref_DCV!$B$47:$F$87,2,FALSE)*(L17/L30)))+
(IF(L18="",FALSE,VLOOKUP(L31,Ref_DCV!$B$47:$F$87,2,FALSE)*(L18/L30)))+
(IF(L19="",FALSE,VLOOKUP(L31,Ref_DCV!$B$47:$F$87,3,FALSE)*(L19/L30)))+
(IF(L20="",FALSE,VLOOKUP(L31,Ref_DCV!$B$47:$F$87,4,FALSE)*(L20/L30)))+
(IF(L21="",FALSE,VLOOKUP(L31,Ref_DCV!$B$47:$F$87,5,FALSE)*(L21/L30))))</f>
        <v>1</v>
      </c>
      <c r="M32" s="70">
        <f>IF(OR(M31="&gt;4.0",M31="n/a"),1,
(IF(M16="",FALSE,VLOOKUP(M31,Ref_DCV!$B$47:$F$87,5,FALSE)*(M16/M30)))+
(IF(M17="",FALSE,VLOOKUP(M31,Ref_DCV!$B$47:$F$87,2,FALSE)*(M17/M30)))+
(IF(M18="",FALSE,VLOOKUP(M31,Ref_DCV!$B$47:$F$87,2,FALSE)*(M18/M30)))+
(IF(M19="",FALSE,VLOOKUP(M31,Ref_DCV!$B$47:$F$87,3,FALSE)*(M19/M30)))+
(IF(M20="",FALSE,VLOOKUP(M31,Ref_DCV!$B$47:$F$87,4,FALSE)*(M20/M30)))+
(IF(M21="",FALSE,VLOOKUP(M31,Ref_DCV!$B$47:$F$87,5,FALSE)*(M21/M30))))</f>
        <v>1</v>
      </c>
      <c r="N32" s="70">
        <f>IF(OR(N31="&gt;4.0",N31="n/a"),1,
(IF(N16="",FALSE,VLOOKUP(N31,Ref_DCV!$B$47:$F$87,5,FALSE)*(N16/N30)))+
(IF(N17="",FALSE,VLOOKUP(N31,Ref_DCV!$B$47:$F$87,2,FALSE)*(N17/N30)))+
(IF(N18="",FALSE,VLOOKUP(N31,Ref_DCV!$B$47:$F$87,2,FALSE)*(N18/N30)))+
(IF(N19="",FALSE,VLOOKUP(N31,Ref_DCV!$B$47:$F$87,3,FALSE)*(N19/N30)))+
(IF(N20="",FALSE,VLOOKUP(N31,Ref_DCV!$B$47:$F$87,4,FALSE)*(N20/N30)))+
(IF(N21="",FALSE,VLOOKUP(N31,Ref_DCV!$B$47:$F$87,5,FALSE)*(N21/N30))))</f>
        <v>1</v>
      </c>
      <c r="O32" s="48" t="s">
        <v>9</v>
      </c>
      <c r="P32" s="56"/>
      <c r="Q32" s="85" t="s">
        <v>245</v>
      </c>
      <c r="S32" s="5"/>
      <c r="T32" s="44"/>
      <c r="U32" s="44"/>
      <c r="V32" s="44"/>
      <c r="W32" s="44"/>
      <c r="X32" s="44"/>
      <c r="Y32" s="44"/>
      <c r="Z32" s="44"/>
      <c r="AA32" s="44"/>
      <c r="AB32" s="47"/>
      <c r="AC32" s="44"/>
    </row>
    <row r="33" spans="2:29" ht="15" customHeight="1" x14ac:dyDescent="0.35">
      <c r="B33" s="190"/>
      <c r="C33" s="66">
        <v>31</v>
      </c>
      <c r="D33" s="103" t="s">
        <v>81</v>
      </c>
      <c r="E33" s="70" t="str">
        <f t="shared" ref="E33" si="18">IF(E24=0,"n/a",ROUND((E25*(SUM(E6:E12))+E26*E32*(SUM(E15:E21)))/E24,2))</f>
        <v>n/a</v>
      </c>
      <c r="F33" s="70" t="str">
        <f t="shared" ref="F33:N33" si="19">IF(F24=0,"n/a",ROUND((F25*(SUM(F6:F12))+F26*F32*(SUM(F15:F21)))/F24,2))</f>
        <v>n/a</v>
      </c>
      <c r="G33" s="70" t="str">
        <f t="shared" si="19"/>
        <v>n/a</v>
      </c>
      <c r="H33" s="70" t="str">
        <f t="shared" si="19"/>
        <v>n/a</v>
      </c>
      <c r="I33" s="70" t="str">
        <f t="shared" si="19"/>
        <v>n/a</v>
      </c>
      <c r="J33" s="70" t="str">
        <f t="shared" si="19"/>
        <v>n/a</v>
      </c>
      <c r="K33" s="70" t="str">
        <f t="shared" si="19"/>
        <v>n/a</v>
      </c>
      <c r="L33" s="70" t="str">
        <f t="shared" si="19"/>
        <v>n/a</v>
      </c>
      <c r="M33" s="70" t="str">
        <f t="shared" si="19"/>
        <v>n/a</v>
      </c>
      <c r="N33" s="70" t="str">
        <f t="shared" si="19"/>
        <v>n/a</v>
      </c>
      <c r="O33" s="48" t="s">
        <v>12</v>
      </c>
      <c r="P33" s="56"/>
      <c r="Q33" s="85" t="s">
        <v>313</v>
      </c>
      <c r="S33" s="5"/>
      <c r="T33" s="44"/>
      <c r="U33" s="44"/>
      <c r="V33" s="44"/>
      <c r="W33" s="44"/>
      <c r="X33" s="44"/>
      <c r="Y33" s="44"/>
      <c r="Z33" s="44"/>
      <c r="AA33" s="44"/>
      <c r="AB33" s="47"/>
      <c r="AC33" s="44"/>
    </row>
    <row r="34" spans="2:29" ht="15" customHeight="1" x14ac:dyDescent="0.35">
      <c r="B34" s="190"/>
      <c r="C34" s="66">
        <v>32</v>
      </c>
      <c r="D34" s="103" t="s">
        <v>78</v>
      </c>
      <c r="E34" s="69">
        <f t="shared" ref="E34" si="20">IF(OR(E4="-",E24=0),0,ROUND(E4/12*E24*E33,0))</f>
        <v>0</v>
      </c>
      <c r="F34" s="69">
        <f t="shared" ref="F34:N34" si="21">IF(OR(F4="-",F24=0),0,ROUND(F4/12*F24*F33,0))</f>
        <v>0</v>
      </c>
      <c r="G34" s="69">
        <f t="shared" si="21"/>
        <v>0</v>
      </c>
      <c r="H34" s="69">
        <f t="shared" si="21"/>
        <v>0</v>
      </c>
      <c r="I34" s="69">
        <f t="shared" si="21"/>
        <v>0</v>
      </c>
      <c r="J34" s="69">
        <f t="shared" si="21"/>
        <v>0</v>
      </c>
      <c r="K34" s="69">
        <f t="shared" si="21"/>
        <v>0</v>
      </c>
      <c r="L34" s="69">
        <f t="shared" si="21"/>
        <v>0</v>
      </c>
      <c r="M34" s="69">
        <f t="shared" si="21"/>
        <v>0</v>
      </c>
      <c r="N34" s="69">
        <f t="shared" si="21"/>
        <v>0</v>
      </c>
      <c r="O34" s="67" t="s">
        <v>2</v>
      </c>
      <c r="P34" s="56"/>
      <c r="Q34" s="85" t="s">
        <v>314</v>
      </c>
      <c r="S34" s="5"/>
      <c r="T34" s="44"/>
      <c r="U34" s="44"/>
      <c r="V34" s="44"/>
      <c r="W34" s="44"/>
      <c r="X34" s="44"/>
      <c r="Y34" s="44"/>
      <c r="Z34" s="44"/>
      <c r="AA34" s="44"/>
      <c r="AB34" s="47"/>
      <c r="AC34" s="44"/>
    </row>
    <row r="35" spans="2:29" ht="15" customHeight="1" x14ac:dyDescent="0.35">
      <c r="B35" s="191"/>
      <c r="C35" s="66">
        <v>33</v>
      </c>
      <c r="D35" s="103" t="s">
        <v>58</v>
      </c>
      <c r="E35" s="69">
        <f>IF(OR(E13="No",E13="n/a"),0,IF(OR(E22="",E23=""),0,MIN((ROUND(E22*(MIN(E23,100)/7.48),0)),0.25*E28)))</f>
        <v>0</v>
      </c>
      <c r="F35" s="69">
        <f t="shared" ref="F35:N35" si="22">IF(OR(F13="No",F13="n/a"),0,IF(OR(F22="",F23=""),0,MIN((ROUND(F22*(MIN(F23,100)/7.48),0)),0.25*F34)))</f>
        <v>0</v>
      </c>
      <c r="G35" s="69">
        <f t="shared" si="22"/>
        <v>0</v>
      </c>
      <c r="H35" s="69">
        <f t="shared" si="22"/>
        <v>0</v>
      </c>
      <c r="I35" s="69">
        <f t="shared" si="22"/>
        <v>0</v>
      </c>
      <c r="J35" s="69">
        <f t="shared" si="22"/>
        <v>0</v>
      </c>
      <c r="K35" s="69">
        <f t="shared" si="22"/>
        <v>0</v>
      </c>
      <c r="L35" s="69">
        <f t="shared" si="22"/>
        <v>0</v>
      </c>
      <c r="M35" s="69">
        <f t="shared" si="22"/>
        <v>0</v>
      </c>
      <c r="N35" s="69">
        <f t="shared" si="22"/>
        <v>0</v>
      </c>
      <c r="O35" s="67" t="s">
        <v>2</v>
      </c>
      <c r="P35" s="56"/>
      <c r="Q35" s="85" t="s">
        <v>255</v>
      </c>
      <c r="R35" s="3"/>
      <c r="S35" s="74" t="str">
        <f t="shared" ref="S35:AB35" si="23">IF(OR(E35=0,E3=""),"Ok",IF(E35/E28&gt;0.25,"Warning","Ok"))</f>
        <v>Ok</v>
      </c>
      <c r="T35" s="75" t="str">
        <f t="shared" si="23"/>
        <v>Ok</v>
      </c>
      <c r="U35" s="75" t="str">
        <f t="shared" si="23"/>
        <v>Ok</v>
      </c>
      <c r="V35" s="75" t="str">
        <f t="shared" si="23"/>
        <v>Ok</v>
      </c>
      <c r="W35" s="75" t="str">
        <f t="shared" si="23"/>
        <v>Ok</v>
      </c>
      <c r="X35" s="75" t="str">
        <f t="shared" si="23"/>
        <v>Ok</v>
      </c>
      <c r="Y35" s="75" t="str">
        <f t="shared" si="23"/>
        <v>Ok</v>
      </c>
      <c r="Z35" s="75" t="str">
        <f t="shared" si="23"/>
        <v>Ok</v>
      </c>
      <c r="AA35" s="75" t="str">
        <f t="shared" si="23"/>
        <v>Ok</v>
      </c>
      <c r="AB35" s="76" t="str">
        <f t="shared" si="23"/>
        <v>Ok</v>
      </c>
      <c r="AC35" s="44" t="s">
        <v>93</v>
      </c>
    </row>
    <row r="36" spans="2:29" ht="15" customHeight="1" x14ac:dyDescent="0.35">
      <c r="B36" s="190" t="s">
        <v>76</v>
      </c>
      <c r="C36" s="66">
        <v>34</v>
      </c>
      <c r="D36" s="103" t="s">
        <v>26</v>
      </c>
      <c r="E36" s="70">
        <f t="shared" ref="E36" si="24">IF(OR(E33="n/a",E33=0,E34=0),0,MAX(ROUND(E33*(1-(E35/E34)),2),0))</f>
        <v>0</v>
      </c>
      <c r="F36" s="70">
        <f t="shared" ref="F36:N36" si="25">IF(OR(F33="n/a",F33=0,F34=0),0,MAX(ROUND(F33*(1-(F35/F34)),2),0))</f>
        <v>0</v>
      </c>
      <c r="G36" s="70">
        <f t="shared" si="25"/>
        <v>0</v>
      </c>
      <c r="H36" s="70">
        <f t="shared" si="25"/>
        <v>0</v>
      </c>
      <c r="I36" s="70">
        <f t="shared" si="25"/>
        <v>0</v>
      </c>
      <c r="J36" s="70">
        <f t="shared" si="25"/>
        <v>0</v>
      </c>
      <c r="K36" s="70">
        <f t="shared" si="25"/>
        <v>0</v>
      </c>
      <c r="L36" s="70">
        <f t="shared" si="25"/>
        <v>0</v>
      </c>
      <c r="M36" s="70">
        <f t="shared" si="25"/>
        <v>0</v>
      </c>
      <c r="N36" s="70">
        <f t="shared" si="25"/>
        <v>0</v>
      </c>
      <c r="O36" s="67" t="s">
        <v>12</v>
      </c>
      <c r="P36" s="56"/>
      <c r="Q36" s="85" t="s">
        <v>246</v>
      </c>
      <c r="R36" s="3"/>
      <c r="S36" s="74"/>
      <c r="T36" s="75"/>
      <c r="U36" s="75"/>
      <c r="V36" s="75"/>
      <c r="W36" s="75"/>
      <c r="X36" s="75"/>
      <c r="Y36" s="75"/>
      <c r="Z36" s="75"/>
      <c r="AA36" s="75"/>
      <c r="AB36" s="76"/>
      <c r="AC36" s="44"/>
    </row>
    <row r="37" spans="2:29" ht="15" customHeight="1" x14ac:dyDescent="0.35">
      <c r="B37" s="190"/>
      <c r="C37" s="66">
        <v>35</v>
      </c>
      <c r="D37" s="103" t="s">
        <v>63</v>
      </c>
      <c r="E37" s="69">
        <f t="shared" ref="E37" si="26">ROUND(E24*E36,0)</f>
        <v>0</v>
      </c>
      <c r="F37" s="69">
        <f t="shared" ref="F37:N37" si="27">ROUND(F24*F36,0)</f>
        <v>0</v>
      </c>
      <c r="G37" s="69">
        <f t="shared" si="27"/>
        <v>0</v>
      </c>
      <c r="H37" s="69">
        <f t="shared" si="27"/>
        <v>0</v>
      </c>
      <c r="I37" s="69">
        <f t="shared" si="27"/>
        <v>0</v>
      </c>
      <c r="J37" s="69">
        <f t="shared" si="27"/>
        <v>0</v>
      </c>
      <c r="K37" s="69">
        <f t="shared" si="27"/>
        <v>0</v>
      </c>
      <c r="L37" s="69">
        <f t="shared" si="27"/>
        <v>0</v>
      </c>
      <c r="M37" s="69">
        <f t="shared" si="27"/>
        <v>0</v>
      </c>
      <c r="N37" s="69">
        <f t="shared" si="27"/>
        <v>0</v>
      </c>
      <c r="O37" s="67" t="s">
        <v>4</v>
      </c>
      <c r="P37" s="56"/>
      <c r="Q37" s="85" t="s">
        <v>315</v>
      </c>
      <c r="R37" s="3"/>
      <c r="S37" s="74"/>
      <c r="T37" s="75"/>
      <c r="U37" s="75"/>
      <c r="V37" s="75"/>
      <c r="W37" s="75"/>
      <c r="X37" s="75"/>
      <c r="Y37" s="75"/>
      <c r="Z37" s="75"/>
      <c r="AA37" s="75"/>
      <c r="AB37" s="76"/>
      <c r="AC37" s="44"/>
    </row>
    <row r="38" spans="2:29" ht="15" customHeight="1" x14ac:dyDescent="0.35">
      <c r="B38" s="190"/>
      <c r="C38" s="66">
        <v>36</v>
      </c>
      <c r="D38" s="103" t="s">
        <v>160</v>
      </c>
      <c r="E38" s="69">
        <f t="shared" ref="E38" si="28">(E28-E34)+E35</f>
        <v>0</v>
      </c>
      <c r="F38" s="69">
        <f t="shared" ref="F38:N38" si="29">(F28-F34)+F35</f>
        <v>0</v>
      </c>
      <c r="G38" s="69">
        <f t="shared" si="29"/>
        <v>0</v>
      </c>
      <c r="H38" s="69">
        <f t="shared" si="29"/>
        <v>0</v>
      </c>
      <c r="I38" s="69">
        <f t="shared" si="29"/>
        <v>0</v>
      </c>
      <c r="J38" s="69">
        <f t="shared" si="29"/>
        <v>0</v>
      </c>
      <c r="K38" s="69">
        <f t="shared" si="29"/>
        <v>0</v>
      </c>
      <c r="L38" s="69">
        <f t="shared" si="29"/>
        <v>0</v>
      </c>
      <c r="M38" s="69">
        <f t="shared" si="29"/>
        <v>0</v>
      </c>
      <c r="N38" s="69">
        <f t="shared" si="29"/>
        <v>0</v>
      </c>
      <c r="O38" s="67" t="s">
        <v>2</v>
      </c>
      <c r="P38" s="56"/>
      <c r="Q38" s="85" t="s">
        <v>316</v>
      </c>
      <c r="R38" s="3"/>
      <c r="S38" s="74"/>
      <c r="T38" s="75"/>
      <c r="U38" s="75"/>
      <c r="V38" s="75"/>
      <c r="W38" s="75"/>
      <c r="X38" s="75"/>
      <c r="Y38" s="75"/>
      <c r="Z38" s="75"/>
      <c r="AA38" s="75"/>
      <c r="AB38" s="76"/>
      <c r="AC38" s="44"/>
    </row>
    <row r="39" spans="2:29" ht="15" customHeight="1" x14ac:dyDescent="0.35">
      <c r="B39" s="191"/>
      <c r="C39" s="66">
        <v>37</v>
      </c>
      <c r="D39" s="103" t="s">
        <v>161</v>
      </c>
      <c r="E39" s="69">
        <f t="shared" ref="E39" si="30">MAX((E28-E38),0)</f>
        <v>0</v>
      </c>
      <c r="F39" s="69">
        <f t="shared" ref="F39:N39" si="31">MAX((F28-F38),0)</f>
        <v>0</v>
      </c>
      <c r="G39" s="69">
        <f t="shared" si="31"/>
        <v>0</v>
      </c>
      <c r="H39" s="69">
        <f t="shared" si="31"/>
        <v>0</v>
      </c>
      <c r="I39" s="69">
        <f t="shared" si="31"/>
        <v>0</v>
      </c>
      <c r="J39" s="69">
        <f t="shared" si="31"/>
        <v>0</v>
      </c>
      <c r="K39" s="69">
        <f t="shared" si="31"/>
        <v>0</v>
      </c>
      <c r="L39" s="69">
        <f t="shared" si="31"/>
        <v>0</v>
      </c>
      <c r="M39" s="69">
        <f t="shared" si="31"/>
        <v>0</v>
      </c>
      <c r="N39" s="69">
        <f t="shared" si="31"/>
        <v>0</v>
      </c>
      <c r="O39" s="67" t="s">
        <v>2</v>
      </c>
      <c r="P39" s="56"/>
      <c r="Q39" s="149" t="s">
        <v>247</v>
      </c>
      <c r="S39" s="49"/>
      <c r="T39" s="50"/>
      <c r="U39" s="50"/>
      <c r="V39" s="50"/>
      <c r="W39" s="50"/>
      <c r="X39" s="50"/>
      <c r="Y39" s="50"/>
      <c r="Z39" s="50"/>
      <c r="AA39" s="50"/>
      <c r="AB39" s="51"/>
      <c r="AC39" s="44"/>
    </row>
    <row r="40" spans="2:29" ht="14.15" customHeight="1" x14ac:dyDescent="0.35">
      <c r="B40" s="192" t="str">
        <f>IF(OR(B41&lt;&gt;"False",B42&lt;&gt;"False"),"Attention!","No Warning Messages")</f>
        <v>No Warning Messages</v>
      </c>
      <c r="C40" s="193"/>
      <c r="D40" s="193"/>
      <c r="E40" s="193"/>
      <c r="F40" s="193"/>
      <c r="G40" s="193"/>
      <c r="H40" s="193"/>
      <c r="I40" s="193"/>
      <c r="J40" s="193"/>
      <c r="K40" s="193"/>
      <c r="L40" s="193"/>
      <c r="M40" s="193"/>
      <c r="N40" s="193"/>
      <c r="O40" s="194"/>
    </row>
    <row r="41" spans="2:29" ht="14.15" customHeight="1" x14ac:dyDescent="0.35">
      <c r="B41" s="180" t="str">
        <f>IF(COUNTIF(S13:AB13,"Warning")&gt;=1,"-If data is entered in Lines 13 to 21, Line 11 must be marked 'Yes.'","False")</f>
        <v>False</v>
      </c>
      <c r="C41" s="181"/>
      <c r="D41" s="181"/>
      <c r="E41" s="181"/>
      <c r="F41" s="181"/>
      <c r="G41" s="181"/>
      <c r="H41" s="181"/>
      <c r="I41" s="181"/>
      <c r="J41" s="181"/>
      <c r="K41" s="181"/>
      <c r="L41" s="181"/>
      <c r="M41" s="181"/>
      <c r="N41" s="181"/>
      <c r="O41" s="182"/>
    </row>
    <row r="42" spans="2:29" ht="14.15" customHeight="1" x14ac:dyDescent="0.35">
      <c r="B42" s="180" t="str">
        <f>IF(COUNTIF(S23:AB23,"Warning")&gt;=1,"-Rain barrels must be 100 gallons or less. The DCV reduction is limited to 100 gallons per barrel.","False")</f>
        <v>False</v>
      </c>
      <c r="C42" s="181"/>
      <c r="D42" s="181"/>
      <c r="E42" s="181"/>
      <c r="F42" s="181"/>
      <c r="G42" s="181"/>
      <c r="H42" s="181"/>
      <c r="I42" s="181"/>
      <c r="J42" s="181"/>
      <c r="K42" s="181"/>
      <c r="L42" s="181"/>
      <c r="M42" s="181"/>
      <c r="N42" s="181"/>
      <c r="O42" s="182"/>
    </row>
    <row r="43" spans="2:29" ht="14.15" customHeight="1" x14ac:dyDescent="0.35">
      <c r="B43" s="183" t="str">
        <f>IF(COUNTIF(S22:AB22,"Warning")&gt;=1,"-Rain barrels must provide a maximum reduction of less than 25% of the initial DCV to qualify for the standard reductions. The total rain barrel volume reduction in Line 33 has been limited to 25% of the initial DCV.","False")</f>
        <v>False</v>
      </c>
      <c r="C43" s="184"/>
      <c r="D43" s="184"/>
      <c r="E43" s="184"/>
      <c r="F43" s="184"/>
      <c r="G43" s="184"/>
      <c r="H43" s="184"/>
      <c r="I43" s="184"/>
      <c r="J43" s="184"/>
      <c r="K43" s="184"/>
      <c r="L43" s="184"/>
      <c r="M43" s="184"/>
      <c r="N43" s="184"/>
      <c r="O43" s="185"/>
      <c r="R43" s="3"/>
      <c r="S43" s="65">
        <f>E22*MIN(E23,100)/7.48</f>
        <v>0</v>
      </c>
    </row>
    <row r="44" spans="2:29" x14ac:dyDescent="0.35">
      <c r="S44" s="97">
        <f>E23</f>
        <v>0</v>
      </c>
    </row>
    <row r="45" spans="2:29" x14ac:dyDescent="0.35">
      <c r="S45" s="97">
        <f>MIN(E23,100)</f>
        <v>100</v>
      </c>
    </row>
  </sheetData>
  <sheetProtection algorithmName="SHA-512" hashValue="T0JSXco2Os+G/jxB45VM+2tBoDOrMr9TagcJe4bA5+bUo9SmC/leHCGhVWObA+ebRSCOkAmeopyAaqujYSYeSw==" saltValue="TG82bVWunKFZvlXaHMF+SA==" spinCount="100000" sheet="1" objects="1" scenarios="1" formatColumns="0"/>
  <mergeCells count="12">
    <mergeCell ref="S2:AB2"/>
    <mergeCell ref="B41:O41"/>
    <mergeCell ref="B43:O43"/>
    <mergeCell ref="B1:O1"/>
    <mergeCell ref="B3:B12"/>
    <mergeCell ref="B36:B39"/>
    <mergeCell ref="B40:O40"/>
    <mergeCell ref="B29:B35"/>
    <mergeCell ref="B13:B14"/>
    <mergeCell ref="B15:B23"/>
    <mergeCell ref="B24:B28"/>
    <mergeCell ref="B42:O42"/>
  </mergeCells>
  <conditionalFormatting sqref="E15:E23">
    <cfRule type="expression" dxfId="67" priority="5">
      <formula>OR(E$13="No",E$13="n/a", E$13="")</formula>
    </cfRule>
  </conditionalFormatting>
  <conditionalFormatting sqref="E23">
    <cfRule type="expression" dxfId="66" priority="16">
      <formula>S$22="Warning"</formula>
    </cfRule>
    <cfRule type="expression" dxfId="65" priority="93">
      <formula>S$23="Warning"</formula>
    </cfRule>
  </conditionalFormatting>
  <conditionalFormatting sqref="E22">
    <cfRule type="expression" dxfId="64" priority="13">
      <formula>S$22="Warning"</formula>
    </cfRule>
  </conditionalFormatting>
  <conditionalFormatting sqref="B41:O43">
    <cfRule type="containsText" dxfId="63" priority="11" operator="containsText" text="False">
      <formula>NOT(ISERROR(SEARCH("False",B41)))</formula>
    </cfRule>
  </conditionalFormatting>
  <conditionalFormatting sqref="B40:O40">
    <cfRule type="containsText" dxfId="62" priority="10" operator="containsText" text="No Warning Messages">
      <formula>NOT(ISERROR(SEARCH("No Warning Messages",B40)))</formula>
    </cfRule>
  </conditionalFormatting>
  <conditionalFormatting sqref="F15:N21">
    <cfRule type="expression" dxfId="61" priority="9">
      <formula>OR(F$13="No",F$13="n/a", F$13="")</formula>
    </cfRule>
  </conditionalFormatting>
  <conditionalFormatting sqref="F22:N23">
    <cfRule type="expression" dxfId="60" priority="1">
      <formula>OR(F$13="No",F$13="n/a", F$13="")</formula>
    </cfRule>
  </conditionalFormatting>
  <conditionalFormatting sqref="F23:N23">
    <cfRule type="expression" dxfId="59" priority="3">
      <formula>T$22="Warning"</formula>
    </cfRule>
    <cfRule type="expression" dxfId="58" priority="4">
      <formula>T$23="Warning"</formula>
    </cfRule>
  </conditionalFormatting>
  <conditionalFormatting sqref="F22:N22">
    <cfRule type="expression" dxfId="57" priority="2">
      <formula>T$22="Warning"</formula>
    </cfRule>
  </conditionalFormatting>
  <pageMargins left="0.7" right="0.7" top="0.75" bottom="0.75" header="0.3" footer="0.3"/>
  <pageSetup scale="53" orientation="landscape" r:id="rId1"/>
  <rowBreaks count="1" manualBreakCount="1">
    <brk id="44" max="16383" man="1"/>
  </rowBreaks>
  <ignoredErrors>
    <ignoredError sqref="E30 E33 E26:E27 F27:M27 F30:N30 F33:N33" formulaRange="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Ref_DCV!$B$39:$B$41</xm:f>
          </x14:formula1>
          <xm:sqref>E13:N14</xm:sqref>
        </x14:dataValidation>
        <x14:dataValidation type="list" allowBlank="1" showInputMessage="1" showErrorMessage="1" xr:uid="{6CB82DAC-ECE1-4E18-8BC8-753F952A8ECE}">
          <x14:formula1>
            <xm:f>Ref_Dispersion!$B$3:$B$4</xm:f>
          </x14:formula1>
          <xm:sqref>E5:N5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B1:AG40"/>
  <sheetViews>
    <sheetView showGridLines="0" zoomScale="80" zoomScaleNormal="80" zoomScalePageLayoutView="40" workbookViewId="0">
      <selection activeCell="D14" sqref="D14"/>
    </sheetView>
  </sheetViews>
  <sheetFormatPr defaultColWidth="9.1796875" defaultRowHeight="14.5" x14ac:dyDescent="0.35"/>
  <cols>
    <col min="1" max="1" width="2.7265625" style="7" customWidth="1"/>
    <col min="2" max="2" width="15.7265625" style="7" customWidth="1"/>
    <col min="3" max="3" width="4.7265625" style="6" customWidth="1"/>
    <col min="4" max="4" width="80.7265625" style="7" customWidth="1"/>
    <col min="5" max="14" width="11.7265625" style="7" customWidth="1"/>
    <col min="15" max="15" width="10.7265625" style="7" customWidth="1"/>
    <col min="16" max="16" width="6.7265625" style="7" customWidth="1"/>
    <col min="17" max="17" width="103.81640625" style="7" hidden="1" customWidth="1"/>
    <col min="18" max="18" width="6.7265625" style="7" hidden="1" customWidth="1"/>
    <col min="19" max="24" width="9.26953125" style="7" hidden="1" customWidth="1"/>
    <col min="25" max="29" width="9.1796875" style="7" hidden="1" customWidth="1"/>
    <col min="30" max="16384" width="9.1796875" style="7"/>
  </cols>
  <sheetData>
    <row r="1" spans="2:33" ht="15" customHeight="1" x14ac:dyDescent="0.4">
      <c r="B1" s="195" t="s">
        <v>291</v>
      </c>
      <c r="C1" s="196"/>
      <c r="D1" s="196"/>
      <c r="E1" s="196"/>
      <c r="F1" s="196"/>
      <c r="G1" s="196"/>
      <c r="H1" s="196"/>
      <c r="I1" s="196"/>
      <c r="J1" s="196"/>
      <c r="K1" s="196"/>
      <c r="L1" s="196"/>
      <c r="M1" s="196"/>
      <c r="N1" s="196"/>
      <c r="O1" s="197"/>
      <c r="P1" s="65"/>
      <c r="Q1" s="46" t="s">
        <v>29</v>
      </c>
      <c r="R1" s="52"/>
      <c r="S1" s="52"/>
      <c r="T1" s="52"/>
      <c r="U1" s="52"/>
      <c r="V1" s="52"/>
      <c r="W1" s="52"/>
      <c r="X1" s="52"/>
      <c r="Y1" s="52"/>
      <c r="Z1" s="52"/>
      <c r="AA1" s="52"/>
      <c r="AB1" s="31"/>
    </row>
    <row r="2" spans="2:33" s="9" customFormat="1" ht="13.9" customHeight="1" x14ac:dyDescent="0.35">
      <c r="B2" s="78" t="s">
        <v>7</v>
      </c>
      <c r="C2" s="78" t="s">
        <v>5</v>
      </c>
      <c r="D2" s="78" t="s">
        <v>0</v>
      </c>
      <c r="E2" s="82" t="s">
        <v>30</v>
      </c>
      <c r="F2" s="82" t="s">
        <v>31</v>
      </c>
      <c r="G2" s="82" t="s">
        <v>32</v>
      </c>
      <c r="H2" s="82" t="s">
        <v>33</v>
      </c>
      <c r="I2" s="82" t="s">
        <v>34</v>
      </c>
      <c r="J2" s="82" t="s">
        <v>35</v>
      </c>
      <c r="K2" s="82" t="s">
        <v>36</v>
      </c>
      <c r="L2" s="82" t="s">
        <v>65</v>
      </c>
      <c r="M2" s="82" t="s">
        <v>37</v>
      </c>
      <c r="N2" s="82" t="s">
        <v>38</v>
      </c>
      <c r="O2" s="78" t="s">
        <v>1</v>
      </c>
      <c r="P2" s="65"/>
      <c r="Q2" s="83" t="s">
        <v>325</v>
      </c>
      <c r="R2" s="32"/>
      <c r="S2" s="177" t="s">
        <v>28</v>
      </c>
      <c r="T2" s="178"/>
      <c r="U2" s="178"/>
      <c r="V2" s="178"/>
      <c r="W2" s="178"/>
      <c r="X2" s="178"/>
      <c r="Y2" s="178"/>
      <c r="Z2" s="178"/>
      <c r="AA2" s="178"/>
      <c r="AB2" s="179"/>
    </row>
    <row r="3" spans="2:33" s="9" customFormat="1" ht="18" customHeight="1" x14ac:dyDescent="0.35">
      <c r="B3" s="189" t="s">
        <v>133</v>
      </c>
      <c r="C3" s="66">
        <v>1</v>
      </c>
      <c r="D3" s="103" t="s">
        <v>51</v>
      </c>
      <c r="E3" s="141" t="str">
        <f>IF(AND('Step 1. DCV'!E3&lt;&gt;"",'Step 1. DCV'!E29&gt;0),'Step 1. DCV'!E3,"-")</f>
        <v>-</v>
      </c>
      <c r="F3" s="141" t="str">
        <f>IF(AND('Step 1. DCV'!F3&lt;&gt;"",'Step 1. DCV'!F29&gt;0),'Step 1. DCV'!F3,"-")</f>
        <v>-</v>
      </c>
      <c r="G3" s="141" t="str">
        <f>IF(AND('Step 1. DCV'!G3&lt;&gt;"",'Step 1. DCV'!G29&gt;0),'Step 1. DCV'!G3,"-")</f>
        <v>-</v>
      </c>
      <c r="H3" s="141" t="str">
        <f>IF(AND('Step 1. DCV'!H3&lt;&gt;"",'Step 1. DCV'!H29&gt;0),'Step 1. DCV'!H3,"-")</f>
        <v>-</v>
      </c>
      <c r="I3" s="141" t="str">
        <f>IF(AND('Step 1. DCV'!I3&lt;&gt;"",'Step 1. DCV'!I29&gt;0),'Step 1. DCV'!I3,"-")</f>
        <v>-</v>
      </c>
      <c r="J3" s="141" t="str">
        <f>IF(AND('Step 1. DCV'!J3&lt;&gt;"",'Step 1. DCV'!J29&gt;0),'Step 1. DCV'!J3,"-")</f>
        <v>-</v>
      </c>
      <c r="K3" s="141" t="str">
        <f>IF(AND('Step 1. DCV'!K3&lt;&gt;"",'Step 1. DCV'!K29&gt;0),'Step 1. DCV'!K3,"-")</f>
        <v>-</v>
      </c>
      <c r="L3" s="141" t="str">
        <f>IF(AND('Step 1. DCV'!L3&lt;&gt;"",'Step 1. DCV'!L29&gt;0),'Step 1. DCV'!L3,"-")</f>
        <v>-</v>
      </c>
      <c r="M3" s="141" t="str">
        <f>IF(AND('Step 1. DCV'!M3&lt;&gt;"",'Step 1. DCV'!M29&gt;0),'Step 1. DCV'!M3,"-")</f>
        <v>-</v>
      </c>
      <c r="N3" s="141" t="str">
        <f>IF(AND('Step 1. DCV'!N3&lt;&gt;"",'Step 1. DCV'!N29&gt;0),'Step 1. DCV'!N3,"-")</f>
        <v>-</v>
      </c>
      <c r="O3" s="67" t="s">
        <v>12</v>
      </c>
      <c r="P3" s="65"/>
      <c r="Q3" s="84" t="s">
        <v>318</v>
      </c>
      <c r="R3" s="32"/>
      <c r="S3" s="58"/>
      <c r="T3" s="29"/>
      <c r="U3" s="29"/>
      <c r="V3" s="29"/>
      <c r="W3" s="29"/>
      <c r="X3" s="29"/>
      <c r="Y3" s="29"/>
      <c r="Z3" s="29"/>
      <c r="AA3" s="29"/>
      <c r="AB3" s="30"/>
    </row>
    <row r="4" spans="2:33" s="9" customFormat="1" ht="18" customHeight="1" x14ac:dyDescent="0.35">
      <c r="B4" s="190"/>
      <c r="C4" s="66">
        <v>2</v>
      </c>
      <c r="D4" s="103" t="s">
        <v>145</v>
      </c>
      <c r="E4" s="141" t="str">
        <f>IF(E3&lt;&gt;"-",'Step 1. DCV'!E39,"-")</f>
        <v>-</v>
      </c>
      <c r="F4" s="141" t="str">
        <f>IF(F3&lt;&gt;"-",'Step 1. DCV'!F39,"-")</f>
        <v>-</v>
      </c>
      <c r="G4" s="141" t="str">
        <f>IF(G3&lt;&gt;"-",'Step 1. DCV'!G39,"-")</f>
        <v>-</v>
      </c>
      <c r="H4" s="141" t="str">
        <f>IF(H3&lt;&gt;"-",'Step 1. DCV'!H39,"-")</f>
        <v>-</v>
      </c>
      <c r="I4" s="141" t="str">
        <f>IF(I3&lt;&gt;"-",'Step 1. DCV'!I39,"-")</f>
        <v>-</v>
      </c>
      <c r="J4" s="141" t="str">
        <f>IF(J3&lt;&gt;"-",'Step 1. DCV'!J39,"-")</f>
        <v>-</v>
      </c>
      <c r="K4" s="141" t="str">
        <f>IF(K3&lt;&gt;"-",'Step 1. DCV'!K39,"-")</f>
        <v>-</v>
      </c>
      <c r="L4" s="141" t="str">
        <f>IF(L3&lt;&gt;"-",'Step 1. DCV'!L39,"-")</f>
        <v>-</v>
      </c>
      <c r="M4" s="141" t="str">
        <f>IF(M3&lt;&gt;"-",'Step 1. DCV'!M39,"-")</f>
        <v>-</v>
      </c>
      <c r="N4" s="141" t="str">
        <f>IF(N3&lt;&gt;"-",'Step 1. DCV'!N39,"-")</f>
        <v>-</v>
      </c>
      <c r="O4" s="67" t="s">
        <v>2</v>
      </c>
      <c r="P4" s="65"/>
      <c r="Q4" s="85" t="s">
        <v>319</v>
      </c>
      <c r="R4" s="32"/>
      <c r="S4" s="71" t="str">
        <f>IF(AND(E4&lt;&gt;"-",E4&gt;0), "Warning","Ok")</f>
        <v>Ok</v>
      </c>
      <c r="T4" s="72" t="str">
        <f>IF(AND(F4&lt;&gt;"-",F4&gt;0), "Warning","Ok")</f>
        <v>Ok</v>
      </c>
      <c r="U4" s="72" t="str">
        <f t="shared" ref="U4:AA4" si="0">IF(AND(G4&lt;&gt;"-",G4&gt;0), "Warning","Ok")</f>
        <v>Ok</v>
      </c>
      <c r="V4" s="72" t="str">
        <f t="shared" si="0"/>
        <v>Ok</v>
      </c>
      <c r="W4" s="72" t="str">
        <f t="shared" si="0"/>
        <v>Ok</v>
      </c>
      <c r="X4" s="72" t="str">
        <f t="shared" si="0"/>
        <v>Ok</v>
      </c>
      <c r="Y4" s="72" t="str">
        <f t="shared" si="0"/>
        <v>Ok</v>
      </c>
      <c r="Z4" s="72" t="str">
        <f t="shared" si="0"/>
        <v>Ok</v>
      </c>
      <c r="AA4" s="72" t="str">
        <f t="shared" si="0"/>
        <v>Ok</v>
      </c>
      <c r="AB4" s="73" t="str">
        <f>IF(AND(N4&lt;&gt;"-",N4&gt;0), "Warning","Ok")</f>
        <v>Ok</v>
      </c>
      <c r="AC4" s="9" t="s">
        <v>146</v>
      </c>
    </row>
    <row r="5" spans="2:33" s="9" customFormat="1" ht="18" customHeight="1" x14ac:dyDescent="0.35">
      <c r="B5" s="190"/>
      <c r="C5" s="66">
        <v>3</v>
      </c>
      <c r="D5" s="80" t="s">
        <v>119</v>
      </c>
      <c r="E5" s="140" t="str">
        <f>IF(E3="-","-",
IF('Step 1. DCV'!E5="","Incomplete",'Step 1. DCV'!E5))</f>
        <v>-</v>
      </c>
      <c r="F5" s="140" t="str">
        <f>IF(F3="-","-",
IF('Step 1. DCV'!F5="","Incomplete",'Step 1. DCV'!F5))</f>
        <v>-</v>
      </c>
      <c r="G5" s="140" t="str">
        <f>IF(G3="-","-",
IF('Step 1. DCV'!G5="","Incomplete",'Step 1. DCV'!G5))</f>
        <v>-</v>
      </c>
      <c r="H5" s="140" t="str">
        <f>IF(H3="-","-",
IF('Step 1. DCV'!H5="","Incomplete",'Step 1. DCV'!H5))</f>
        <v>-</v>
      </c>
      <c r="I5" s="140" t="str">
        <f>IF(I3="-","-",
IF('Step 1. DCV'!I5="","Incomplete",'Step 1. DCV'!I5))</f>
        <v>-</v>
      </c>
      <c r="J5" s="140" t="str">
        <f>IF(J3="-","-",
IF('Step 1. DCV'!J5="","Incomplete",'Step 1. DCV'!J5))</f>
        <v>-</v>
      </c>
      <c r="K5" s="140" t="str">
        <f>IF(K3="-","-",
IF('Step 1. DCV'!K5="","Incomplete",'Step 1. DCV'!K5))</f>
        <v>-</v>
      </c>
      <c r="L5" s="140" t="str">
        <f>IF(L3="-","-",
IF('Step 1. DCV'!L5="","Incomplete",'Step 1. DCV'!L5))</f>
        <v>-</v>
      </c>
      <c r="M5" s="140" t="str">
        <f>IF(M3="-","-",
IF('Step 1. DCV'!M5="","Incomplete",'Step 1. DCV'!M5))</f>
        <v>-</v>
      </c>
      <c r="N5" s="140" t="str">
        <f>IF(N3="-","-",
IF('Step 1. DCV'!N5="","Incomplete",'Step 1. DCV'!N5))</f>
        <v>-</v>
      </c>
      <c r="O5" s="67" t="s">
        <v>15</v>
      </c>
      <c r="P5" s="65"/>
      <c r="Q5" s="86" t="s">
        <v>320</v>
      </c>
      <c r="R5" s="75"/>
      <c r="S5" s="71" t="str">
        <f>IF(E5="Incomplete","Warning","Ok")</f>
        <v>Ok</v>
      </c>
      <c r="T5" s="44" t="str">
        <f>IF(F5="Incomplete","Warning","Ok")</f>
        <v>Ok</v>
      </c>
      <c r="U5" s="44" t="str">
        <f t="shared" ref="U5:Z5" si="1">IF(G5="Incomplete","Warning","Ok")</f>
        <v>Ok</v>
      </c>
      <c r="V5" s="44" t="str">
        <f t="shared" si="1"/>
        <v>Ok</v>
      </c>
      <c r="W5" s="44" t="str">
        <f t="shared" si="1"/>
        <v>Ok</v>
      </c>
      <c r="X5" s="44" t="str">
        <f t="shared" si="1"/>
        <v>Ok</v>
      </c>
      <c r="Y5" s="44" t="str">
        <f t="shared" si="1"/>
        <v>Ok</v>
      </c>
      <c r="Z5" s="44" t="str">
        <f t="shared" si="1"/>
        <v>Ok</v>
      </c>
      <c r="AA5" s="44" t="str">
        <f>IF(M5="Incomplete","Warning","Ok")</f>
        <v>Ok</v>
      </c>
      <c r="AB5" s="47" t="str">
        <f>IF(N5="Incomplete","Warning","Ok")</f>
        <v>Ok</v>
      </c>
      <c r="AC5" s="65" t="s">
        <v>239</v>
      </c>
    </row>
    <row r="6" spans="2:33" s="9" customFormat="1" ht="18" customHeight="1" x14ac:dyDescent="0.35">
      <c r="B6" s="190"/>
      <c r="C6" s="66">
        <v>4</v>
      </c>
      <c r="D6" s="103" t="s">
        <v>24</v>
      </c>
      <c r="E6" s="141" t="str">
        <f>IF(E3&lt;&gt;"-",'Step 1. DCV'!E29,"-")</f>
        <v>-</v>
      </c>
      <c r="F6" s="141" t="str">
        <f>IF(F3&lt;&gt;"-",'Step 1. DCV'!F29,"-")</f>
        <v>-</v>
      </c>
      <c r="G6" s="141" t="str">
        <f>IF(G3&lt;&gt;"-",'Step 1. DCV'!G29,"-")</f>
        <v>-</v>
      </c>
      <c r="H6" s="141" t="str">
        <f>IF(H3&lt;&gt;"-",'Step 1. DCV'!H29,"-")</f>
        <v>-</v>
      </c>
      <c r="I6" s="141" t="str">
        <f>IF(I3&lt;&gt;"-",'Step 1. DCV'!I29,"-")</f>
        <v>-</v>
      </c>
      <c r="J6" s="141" t="str">
        <f>IF(J3&lt;&gt;"-",'Step 1. DCV'!J29,"-")</f>
        <v>-</v>
      </c>
      <c r="K6" s="141" t="str">
        <f>IF(K3&lt;&gt;"-",'Step 1. DCV'!K29,"-")</f>
        <v>-</v>
      </c>
      <c r="L6" s="141" t="str">
        <f>IF(L3&lt;&gt;"-",'Step 1. DCV'!L29,"-")</f>
        <v>-</v>
      </c>
      <c r="M6" s="141" t="str">
        <f>IF(M3&lt;&gt;"-",'Step 1. DCV'!M29,"-")</f>
        <v>-</v>
      </c>
      <c r="N6" s="141" t="str">
        <f>IF(N3&lt;&gt;"-",'Step 1. DCV'!N29,"-")</f>
        <v>-</v>
      </c>
      <c r="O6" s="67" t="s">
        <v>4</v>
      </c>
      <c r="P6" s="65"/>
      <c r="Q6" s="86" t="s">
        <v>321</v>
      </c>
      <c r="R6" s="75"/>
      <c r="S6" s="71"/>
      <c r="T6" s="44"/>
      <c r="U6" s="44"/>
      <c r="V6" s="44"/>
      <c r="W6" s="44"/>
      <c r="X6" s="44"/>
      <c r="Y6" s="44"/>
      <c r="Z6" s="44"/>
      <c r="AA6" s="44"/>
      <c r="AB6" s="47"/>
      <c r="AC6" s="65"/>
    </row>
    <row r="7" spans="2:33" s="9" customFormat="1" ht="36" customHeight="1" x14ac:dyDescent="0.35">
      <c r="B7" s="190"/>
      <c r="C7" s="66">
        <v>5</v>
      </c>
      <c r="D7" s="80" t="s">
        <v>242</v>
      </c>
      <c r="E7" s="141" t="str">
        <f>IF(E3&lt;&gt;"-",SUM('Step 1. DCV'!E17:'Step 1. DCV'!E21),"-")</f>
        <v>-</v>
      </c>
      <c r="F7" s="141" t="str">
        <f>IF(F3&lt;&gt;"-",SUM('Step 1. DCV'!F17:'Step 1. DCV'!F21),"-")</f>
        <v>-</v>
      </c>
      <c r="G7" s="141" t="str">
        <f>IF(G3&lt;&gt;"-",SUM('Step 1. DCV'!G17:'Step 1. DCV'!G21),"-")</f>
        <v>-</v>
      </c>
      <c r="H7" s="141" t="str">
        <f>IF(H3&lt;&gt;"-",SUM('Step 1. DCV'!H17:'Step 1. DCV'!H21),"-")</f>
        <v>-</v>
      </c>
      <c r="I7" s="141" t="str">
        <f>IF(I3&lt;&gt;"-",SUM('Step 1. DCV'!I17:'Step 1. DCV'!I21),"-")</f>
        <v>-</v>
      </c>
      <c r="J7" s="141" t="str">
        <f>IF(J3&lt;&gt;"-",SUM('Step 1. DCV'!J17:'Step 1. DCV'!J21),"-")</f>
        <v>-</v>
      </c>
      <c r="K7" s="141" t="str">
        <f>IF(K3&lt;&gt;"-",SUM('Step 1. DCV'!K17:'Step 1. DCV'!K21),"-")</f>
        <v>-</v>
      </c>
      <c r="L7" s="141" t="str">
        <f>IF(L3&lt;&gt;"-",SUM('Step 1. DCV'!L17:'Step 1. DCV'!L21),"-")</f>
        <v>-</v>
      </c>
      <c r="M7" s="141" t="str">
        <f>IF(M3&lt;&gt;"-",SUM('Step 1. DCV'!M17:'Step 1. DCV'!M21),"-")</f>
        <v>-</v>
      </c>
      <c r="N7" s="141" t="str">
        <f>IF(N3&lt;&gt;"-",SUM('Step 1. DCV'!N17:'Step 1. DCV'!N21),"-")</f>
        <v>-</v>
      </c>
      <c r="O7" s="67" t="s">
        <v>4</v>
      </c>
      <c r="P7" s="65"/>
      <c r="Q7" s="86" t="s">
        <v>322</v>
      </c>
      <c r="R7" s="75"/>
      <c r="S7" s="71"/>
      <c r="T7" s="44"/>
      <c r="U7" s="44"/>
      <c r="V7" s="44"/>
      <c r="W7" s="44"/>
      <c r="X7" s="44"/>
      <c r="Y7" s="44"/>
      <c r="Z7" s="44"/>
      <c r="AA7" s="44"/>
      <c r="AB7" s="47"/>
      <c r="AC7" s="65"/>
    </row>
    <row r="8" spans="2:33" s="9" customFormat="1" ht="36" customHeight="1" x14ac:dyDescent="0.35">
      <c r="B8" s="190"/>
      <c r="C8" s="66">
        <v>6</v>
      </c>
      <c r="D8" s="103" t="s">
        <v>241</v>
      </c>
      <c r="E8" s="147" t="str">
        <f>IF(E3&lt;&gt;"-",E6/E7,"-")</f>
        <v>-</v>
      </c>
      <c r="F8" s="147" t="str">
        <f t="shared" ref="F8:N8" si="2">IF(F3&lt;&gt;"-",F6/F7,"-")</f>
        <v>-</v>
      </c>
      <c r="G8" s="147" t="str">
        <f t="shared" si="2"/>
        <v>-</v>
      </c>
      <c r="H8" s="147" t="str">
        <f t="shared" si="2"/>
        <v>-</v>
      </c>
      <c r="I8" s="147" t="str">
        <f t="shared" si="2"/>
        <v>-</v>
      </c>
      <c r="J8" s="147" t="str">
        <f t="shared" si="2"/>
        <v>-</v>
      </c>
      <c r="K8" s="147" t="str">
        <f t="shared" si="2"/>
        <v>-</v>
      </c>
      <c r="L8" s="147" t="str">
        <f t="shared" si="2"/>
        <v>-</v>
      </c>
      <c r="M8" s="147" t="str">
        <f t="shared" si="2"/>
        <v>-</v>
      </c>
      <c r="N8" s="147" t="str">
        <f t="shared" si="2"/>
        <v>-</v>
      </c>
      <c r="O8" s="67" t="s">
        <v>12</v>
      </c>
      <c r="P8" s="65"/>
      <c r="Q8" s="86" t="s">
        <v>292</v>
      </c>
      <c r="R8" s="75"/>
      <c r="S8" s="71" t="str">
        <f>IF(AND(E5="Yes",E8&gt;1),"Warning","Ok")</f>
        <v>Ok</v>
      </c>
      <c r="T8" s="72" t="str">
        <f>IF(AND(F5="Yes",F8&gt;1),"Warning","Ok")</f>
        <v>Ok</v>
      </c>
      <c r="U8" s="72" t="str">
        <f t="shared" ref="U8:Z8" si="3">IF(AND(G5="Yes",G8&gt;1),"Warning","Ok")</f>
        <v>Ok</v>
      </c>
      <c r="V8" s="72" t="str">
        <f t="shared" si="3"/>
        <v>Ok</v>
      </c>
      <c r="W8" s="72" t="str">
        <f t="shared" si="3"/>
        <v>Ok</v>
      </c>
      <c r="X8" s="72" t="str">
        <f t="shared" si="3"/>
        <v>Ok</v>
      </c>
      <c r="Y8" s="72" t="str">
        <f t="shared" si="3"/>
        <v>Ok</v>
      </c>
      <c r="Z8" s="72" t="str">
        <f t="shared" si="3"/>
        <v>Ok</v>
      </c>
      <c r="AA8" s="72" t="str">
        <f>IF(AND(M5="Yes",M8&gt;1),"Warning","Ok")</f>
        <v>Ok</v>
      </c>
      <c r="AB8" s="73" t="str">
        <f>IF(AND(N5="Yes",N8&gt;1),"Warning","Ok")</f>
        <v>Ok</v>
      </c>
      <c r="AC8" s="9" t="s">
        <v>141</v>
      </c>
    </row>
    <row r="9" spans="2:33" s="9" customFormat="1" ht="18" customHeight="1" x14ac:dyDescent="0.35">
      <c r="B9" s="190"/>
      <c r="C9" s="66">
        <v>7</v>
      </c>
      <c r="D9" s="80" t="s">
        <v>123</v>
      </c>
      <c r="E9" s="137"/>
      <c r="F9" s="137"/>
      <c r="G9" s="137"/>
      <c r="H9" s="137"/>
      <c r="I9" s="137"/>
      <c r="J9" s="137"/>
      <c r="K9" s="137"/>
      <c r="L9" s="137"/>
      <c r="M9" s="137"/>
      <c r="N9" s="137"/>
      <c r="O9" s="67" t="s">
        <v>108</v>
      </c>
      <c r="P9" s="65"/>
      <c r="Q9" s="85" t="s">
        <v>126</v>
      </c>
      <c r="R9" s="75"/>
      <c r="S9" s="71" t="str">
        <f>IF(AND(E9&lt;&gt;"",E9&lt;10), "Warning","Ok")</f>
        <v>Ok</v>
      </c>
      <c r="T9" s="72" t="str">
        <f t="shared" ref="T9:AB9" si="4">IF(AND(F9&lt;&gt;"",F9&lt;10), "Warning","Ok")</f>
        <v>Ok</v>
      </c>
      <c r="U9" s="72" t="str">
        <f t="shared" si="4"/>
        <v>Ok</v>
      </c>
      <c r="V9" s="72" t="str">
        <f t="shared" si="4"/>
        <v>Ok</v>
      </c>
      <c r="W9" s="72" t="str">
        <f t="shared" si="4"/>
        <v>Ok</v>
      </c>
      <c r="X9" s="72" t="str">
        <f t="shared" si="4"/>
        <v>Ok</v>
      </c>
      <c r="Y9" s="72" t="str">
        <f t="shared" si="4"/>
        <v>Ok</v>
      </c>
      <c r="Z9" s="72" t="str">
        <f t="shared" si="4"/>
        <v>Ok</v>
      </c>
      <c r="AA9" s="72" t="str">
        <f t="shared" si="4"/>
        <v>Ok</v>
      </c>
      <c r="AB9" s="73" t="str">
        <f t="shared" si="4"/>
        <v>Ok</v>
      </c>
      <c r="AC9" s="9" t="s">
        <v>142</v>
      </c>
    </row>
    <row r="10" spans="2:33" s="9" customFormat="1" ht="18" customHeight="1" x14ac:dyDescent="0.35">
      <c r="B10" s="190"/>
      <c r="C10" s="66">
        <v>8</v>
      </c>
      <c r="D10" s="80" t="s">
        <v>124</v>
      </c>
      <c r="E10" s="142"/>
      <c r="F10" s="142"/>
      <c r="G10" s="142"/>
      <c r="H10" s="142"/>
      <c r="I10" s="142"/>
      <c r="J10" s="142"/>
      <c r="K10" s="142"/>
      <c r="L10" s="142"/>
      <c r="M10" s="142"/>
      <c r="N10" s="142"/>
      <c r="O10" s="67" t="s">
        <v>84</v>
      </c>
      <c r="P10" s="65"/>
      <c r="Q10" s="85" t="s">
        <v>140</v>
      </c>
      <c r="R10" s="75"/>
      <c r="S10" s="71" t="str">
        <f>IF(AND(E10&lt;&gt;"",E10&gt;5), "Warning","Ok")</f>
        <v>Ok</v>
      </c>
      <c r="T10" s="72" t="str">
        <f t="shared" ref="T10:AB10" si="5">IF(AND(F10&lt;&gt;"",F10&gt;5), "Warning","Ok")</f>
        <v>Ok</v>
      </c>
      <c r="U10" s="72" t="str">
        <f t="shared" si="5"/>
        <v>Ok</v>
      </c>
      <c r="V10" s="72" t="str">
        <f t="shared" si="5"/>
        <v>Ok</v>
      </c>
      <c r="W10" s="72" t="str">
        <f t="shared" si="5"/>
        <v>Ok</v>
      </c>
      <c r="X10" s="72" t="str">
        <f t="shared" si="5"/>
        <v>Ok</v>
      </c>
      <c r="Y10" s="72" t="str">
        <f t="shared" si="5"/>
        <v>Ok</v>
      </c>
      <c r="Z10" s="72" t="str">
        <f t="shared" si="5"/>
        <v>Ok</v>
      </c>
      <c r="AA10" s="72" t="str">
        <f t="shared" si="5"/>
        <v>Ok</v>
      </c>
      <c r="AB10" s="73" t="str">
        <f t="shared" si="5"/>
        <v>Ok</v>
      </c>
      <c r="AC10" s="9" t="s">
        <v>143</v>
      </c>
    </row>
    <row r="11" spans="2:33" s="9" customFormat="1" ht="18" customHeight="1" x14ac:dyDescent="0.35">
      <c r="B11" s="190"/>
      <c r="C11" s="66">
        <v>9</v>
      </c>
      <c r="D11" s="80" t="s">
        <v>125</v>
      </c>
      <c r="E11" s="137"/>
      <c r="F11" s="137"/>
      <c r="G11" s="137"/>
      <c r="H11" s="137"/>
      <c r="I11" s="137"/>
      <c r="J11" s="137"/>
      <c r="K11" s="137"/>
      <c r="L11" s="137"/>
      <c r="M11" s="137"/>
      <c r="N11" s="137"/>
      <c r="O11" s="67" t="s">
        <v>3</v>
      </c>
      <c r="P11" s="65"/>
      <c r="Q11" s="85" t="s">
        <v>181</v>
      </c>
      <c r="R11" s="41"/>
      <c r="S11" s="71" t="str">
        <f t="shared" ref="S11:AB11" si="6">IF(AND(E11&lt;&gt;"",E5="Yes",E11&lt;11), "Warning","Ok")</f>
        <v>Ok</v>
      </c>
      <c r="T11" s="72" t="str">
        <f t="shared" si="6"/>
        <v>Ok</v>
      </c>
      <c r="U11" s="72" t="str">
        <f t="shared" si="6"/>
        <v>Ok</v>
      </c>
      <c r="V11" s="72" t="str">
        <f t="shared" si="6"/>
        <v>Ok</v>
      </c>
      <c r="W11" s="72" t="str">
        <f t="shared" si="6"/>
        <v>Ok</v>
      </c>
      <c r="X11" s="72" t="str">
        <f t="shared" si="6"/>
        <v>Ok</v>
      </c>
      <c r="Y11" s="72" t="str">
        <f t="shared" si="6"/>
        <v>Ok</v>
      </c>
      <c r="Z11" s="72" t="str">
        <f t="shared" si="6"/>
        <v>Ok</v>
      </c>
      <c r="AA11" s="72" t="str">
        <f t="shared" si="6"/>
        <v>Ok</v>
      </c>
      <c r="AB11" s="73" t="str">
        <f t="shared" si="6"/>
        <v>Ok</v>
      </c>
      <c r="AC11" s="9" t="s">
        <v>144</v>
      </c>
    </row>
    <row r="12" spans="2:33" s="9" customFormat="1" ht="36" customHeight="1" x14ac:dyDescent="0.35">
      <c r="B12" s="191"/>
      <c r="C12" s="66">
        <v>10</v>
      </c>
      <c r="D12" s="80" t="s">
        <v>139</v>
      </c>
      <c r="E12" s="143"/>
      <c r="F12" s="143"/>
      <c r="G12" s="143"/>
      <c r="H12" s="143"/>
      <c r="I12" s="143"/>
      <c r="J12" s="143"/>
      <c r="K12" s="143"/>
      <c r="L12" s="143"/>
      <c r="M12" s="143"/>
      <c r="N12" s="143"/>
      <c r="O12" s="67" t="s">
        <v>12</v>
      </c>
      <c r="P12" s="65"/>
      <c r="Q12" s="85" t="s">
        <v>248</v>
      </c>
      <c r="R12" s="41"/>
      <c r="S12" s="71"/>
      <c r="T12" s="72"/>
      <c r="U12" s="72"/>
      <c r="V12" s="72"/>
      <c r="W12" s="72"/>
      <c r="X12" s="72"/>
      <c r="Y12" s="72"/>
      <c r="Z12" s="72"/>
      <c r="AA12" s="72"/>
      <c r="AB12" s="73"/>
    </row>
    <row r="13" spans="2:33" s="9" customFormat="1" ht="18" customHeight="1" x14ac:dyDescent="0.35">
      <c r="B13" s="189" t="s">
        <v>76</v>
      </c>
      <c r="C13" s="66">
        <v>11</v>
      </c>
      <c r="D13" s="103" t="s">
        <v>158</v>
      </c>
      <c r="E13" s="69" t="str">
        <f>IF(E3="-","-",
IF(OR(E9="",E10=""),"Incomplete",
IF(AND(E4=0,E9&gt;=10,E10&lt;=5),"Yes","No")))</f>
        <v>-</v>
      </c>
      <c r="F13" s="69" t="str">
        <f t="shared" ref="F13:M13" si="7">IF(F3="-","-",
IF(OR(F9="",F10=""),"Incomplete",
IF(AND(F4=0,F9&gt;=10,F10&lt;=5),"Yes","No")))</f>
        <v>-</v>
      </c>
      <c r="G13" s="69" t="str">
        <f t="shared" si="7"/>
        <v>-</v>
      </c>
      <c r="H13" s="69" t="str">
        <f t="shared" si="7"/>
        <v>-</v>
      </c>
      <c r="I13" s="69" t="str">
        <f t="shared" si="7"/>
        <v>-</v>
      </c>
      <c r="J13" s="69" t="str">
        <f t="shared" si="7"/>
        <v>-</v>
      </c>
      <c r="K13" s="69" t="str">
        <f t="shared" si="7"/>
        <v>-</v>
      </c>
      <c r="L13" s="69" t="str">
        <f t="shared" si="7"/>
        <v>-</v>
      </c>
      <c r="M13" s="69" t="str">
        <f t="shared" si="7"/>
        <v>-</v>
      </c>
      <c r="N13" s="69" t="str">
        <f t="shared" ref="N13" si="8">IF(N3="-","-",
IF(OR(N9="",N10=""),"Incomplete",
IF(AND(N4=0,N9&gt;=10,N10&lt;=5),"Yes","No")))</f>
        <v>-</v>
      </c>
      <c r="O13" s="67" t="s">
        <v>15</v>
      </c>
      <c r="P13" s="65"/>
      <c r="Q13" s="87" t="s">
        <v>249</v>
      </c>
      <c r="R13" s="41"/>
      <c r="S13" s="71"/>
      <c r="T13" s="72"/>
      <c r="U13" s="72"/>
      <c r="V13" s="72"/>
      <c r="W13" s="72"/>
      <c r="X13" s="72"/>
      <c r="Y13" s="72"/>
      <c r="Z13" s="72"/>
      <c r="AA13" s="72"/>
      <c r="AB13" s="73"/>
      <c r="AD13" s="88"/>
      <c r="AE13" s="88"/>
      <c r="AF13" s="88"/>
      <c r="AG13" s="88"/>
    </row>
    <row r="14" spans="2:33" s="9" customFormat="1" ht="18" customHeight="1" x14ac:dyDescent="0.35">
      <c r="B14" s="190"/>
      <c r="C14" s="66">
        <v>12</v>
      </c>
      <c r="D14" s="103" t="s">
        <v>159</v>
      </c>
      <c r="E14" s="69" t="str">
        <f>IF(E3="-","-",
IF(E5="Incomplete","Incomplete",
IF(E5="No","n/a",
IF(OR(E9="",E10="",E11=""),"Incomplete",
IF(AND(E4=0,E8&lt;=1,E9&gt;=10,E10&lt;=5,E11&gt;=11),"Yes","No")))))</f>
        <v>-</v>
      </c>
      <c r="F14" s="69" t="str">
        <f t="shared" ref="F14:N14" si="9">IF(F3="-","-",
IF(F5="Incomplete","Incomplete",
IF(F5="No","n/a",
IF(OR(F9="",F10="",F11=""),"Incomplete",
IF(AND(F4=0,F8&lt;=1,F9&gt;=10,F10&lt;=5,F11&gt;=11),"Yes","No")))))</f>
        <v>-</v>
      </c>
      <c r="G14" s="69" t="str">
        <f t="shared" si="9"/>
        <v>-</v>
      </c>
      <c r="H14" s="69" t="str">
        <f t="shared" si="9"/>
        <v>-</v>
      </c>
      <c r="I14" s="69" t="str">
        <f t="shared" si="9"/>
        <v>-</v>
      </c>
      <c r="J14" s="69" t="str">
        <f t="shared" si="9"/>
        <v>-</v>
      </c>
      <c r="K14" s="69" t="str">
        <f t="shared" si="9"/>
        <v>-</v>
      </c>
      <c r="L14" s="69" t="str">
        <f t="shared" si="9"/>
        <v>-</v>
      </c>
      <c r="M14" s="69" t="str">
        <f t="shared" si="9"/>
        <v>-</v>
      </c>
      <c r="N14" s="69" t="str">
        <f t="shared" si="9"/>
        <v>-</v>
      </c>
      <c r="O14" s="67" t="s">
        <v>15</v>
      </c>
      <c r="P14" s="65"/>
      <c r="Q14" s="86" t="s">
        <v>251</v>
      </c>
      <c r="R14" s="75"/>
      <c r="S14" s="71" t="str">
        <f>IF(OR(E14="No",E14="Incomplete"),"Warning","Ok")</f>
        <v>Ok</v>
      </c>
      <c r="T14" s="72" t="str">
        <f t="shared" ref="T14:AB14" si="10">IF(OR(F14="No",F14="Incomplete"),"Warning","Ok")</f>
        <v>Ok</v>
      </c>
      <c r="U14" s="72" t="str">
        <f t="shared" si="10"/>
        <v>Ok</v>
      </c>
      <c r="V14" s="72" t="str">
        <f t="shared" si="10"/>
        <v>Ok</v>
      </c>
      <c r="W14" s="72" t="str">
        <f t="shared" si="10"/>
        <v>Ok</v>
      </c>
      <c r="X14" s="72" t="str">
        <f t="shared" si="10"/>
        <v>Ok</v>
      </c>
      <c r="Y14" s="72" t="str">
        <f t="shared" si="10"/>
        <v>Ok</v>
      </c>
      <c r="Z14" s="72" t="str">
        <f t="shared" si="10"/>
        <v>Ok</v>
      </c>
      <c r="AA14" s="72" t="str">
        <f t="shared" si="10"/>
        <v>Ok</v>
      </c>
      <c r="AB14" s="73" t="str">
        <f t="shared" si="10"/>
        <v>Ok</v>
      </c>
      <c r="AC14" s="9" t="s">
        <v>179</v>
      </c>
    </row>
    <row r="15" spans="2:33" s="9" customFormat="1" ht="36" customHeight="1" x14ac:dyDescent="0.35">
      <c r="B15" s="191"/>
      <c r="C15" s="66">
        <v>13</v>
      </c>
      <c r="D15" s="80" t="s">
        <v>162</v>
      </c>
      <c r="E15" s="111" t="str">
        <f t="shared" ref="E15" si="11">IF(E3="-","-",
IF(OR(E9="",E10="",E11=""),"Incomplete",
IF(COUNTIF(S$9:S$11,"Warning")&gt;=1,"No","Yes")))</f>
        <v>-</v>
      </c>
      <c r="F15" s="111" t="str">
        <f t="shared" ref="F15" si="12">IF(F3="-","-",
IF(OR(F9="",F10="",F11=""),"Incomplete",
IF(COUNTIF(T$9:T$11,"Warning")&gt;=1,"No","Yes")))</f>
        <v>-</v>
      </c>
      <c r="G15" s="111" t="str">
        <f t="shared" ref="G15" si="13">IF(G3="-","-",
IF(OR(G9="",G10="",G11=""),"Incomplete",
IF(COUNTIF(U$9:U$11,"Warning")&gt;=1,"No","Yes")))</f>
        <v>-</v>
      </c>
      <c r="H15" s="111" t="str">
        <f t="shared" ref="H15" si="14">IF(H3="-","-",
IF(OR(H9="",H10="",H11=""),"Incomplete",
IF(COUNTIF(V$9:V$11,"Warning")&gt;=1,"No","Yes")))</f>
        <v>-</v>
      </c>
      <c r="I15" s="111" t="str">
        <f t="shared" ref="I15" si="15">IF(I3="-","-",
IF(OR(I9="",I10="",I11=""),"Incomplete",
IF(COUNTIF(W$9:W$11,"Warning")&gt;=1,"No","Yes")))</f>
        <v>-</v>
      </c>
      <c r="J15" s="111" t="str">
        <f t="shared" ref="J15" si="16">IF(J3="-","-",
IF(OR(J9="",J10="",J11=""),"Incomplete",
IF(COUNTIF(X$9:X$11,"Warning")&gt;=1,"No","Yes")))</f>
        <v>-</v>
      </c>
      <c r="K15" s="111" t="str">
        <f t="shared" ref="K15" si="17">IF(K3="-","-",
IF(OR(K9="",K10="",K11=""),"Incomplete",
IF(COUNTIF(Y$9:Y$11,"Warning")&gt;=1,"No","Yes")))</f>
        <v>-</v>
      </c>
      <c r="L15" s="111" t="str">
        <f t="shared" ref="L15" si="18">IF(L3="-","-",
IF(OR(L9="",L10="",L11=""),"Incomplete",
IF(COUNTIF(Z$9:Z$11,"Warning")&gt;=1,"No","Yes")))</f>
        <v>-</v>
      </c>
      <c r="M15" s="111" t="str">
        <f t="shared" ref="M15" si="19">IF(M3="-","-",
IF(OR(M9="",M10="",M11=""),"Incomplete",
IF(COUNTIF(AA$9:AA$11,"Warning")&gt;=1,"No","Yes")))</f>
        <v>-</v>
      </c>
      <c r="N15" s="111" t="str">
        <f t="shared" ref="N15" si="20">IF(N3="-","-",
IF(OR(N9="",N10="",N11=""),"Incomplete",
IF(COUNTIF(AB$9:AB$11,"Warning")&gt;=1,"No","Yes")))</f>
        <v>-</v>
      </c>
      <c r="O15" s="67" t="s">
        <v>15</v>
      </c>
      <c r="P15" s="65"/>
      <c r="Q15" s="99" t="s">
        <v>250</v>
      </c>
      <c r="R15" s="41"/>
      <c r="S15" s="100" t="str">
        <f>IF(OR(E15="Incomplete",E15="No"),"Warning","Ok")</f>
        <v>Ok</v>
      </c>
      <c r="T15" s="101" t="str">
        <f t="shared" ref="T15:AB15" si="21">IF(OR(F15="Incomplete",F15="No"),"Warning","Ok")</f>
        <v>Ok</v>
      </c>
      <c r="U15" s="101" t="str">
        <f t="shared" si="21"/>
        <v>Ok</v>
      </c>
      <c r="V15" s="101" t="str">
        <f t="shared" si="21"/>
        <v>Ok</v>
      </c>
      <c r="W15" s="101" t="str">
        <f t="shared" si="21"/>
        <v>Ok</v>
      </c>
      <c r="X15" s="101" t="str">
        <f t="shared" si="21"/>
        <v>Ok</v>
      </c>
      <c r="Y15" s="101" t="str">
        <f t="shared" si="21"/>
        <v>Ok</v>
      </c>
      <c r="Z15" s="101" t="str">
        <f t="shared" si="21"/>
        <v>Ok</v>
      </c>
      <c r="AA15" s="101" t="str">
        <f t="shared" si="21"/>
        <v>Ok</v>
      </c>
      <c r="AB15" s="102" t="str">
        <f t="shared" si="21"/>
        <v>Ok</v>
      </c>
      <c r="AC15" s="9" t="s">
        <v>180</v>
      </c>
    </row>
    <row r="16" spans="2:33" ht="12" customHeight="1" x14ac:dyDescent="0.35">
      <c r="B16" s="211" t="str">
        <f>IF(OR(B18&lt;&gt;"False",B17&lt;&gt;"False",B19&lt;&gt;"False",B20&lt;&gt;"False",B21&lt;&gt;"False",B22&lt;&gt;"False"),"Attention!","No Warning Messages")</f>
        <v>No Warning Messages</v>
      </c>
      <c r="C16" s="212"/>
      <c r="D16" s="212"/>
      <c r="E16" s="212"/>
      <c r="F16" s="212"/>
      <c r="G16" s="212"/>
      <c r="H16" s="212"/>
      <c r="I16" s="212"/>
      <c r="J16" s="212"/>
      <c r="K16" s="212"/>
      <c r="L16" s="212"/>
      <c r="M16" s="212"/>
      <c r="N16" s="212"/>
      <c r="O16" s="213"/>
      <c r="P16" s="65"/>
      <c r="Q16" s="6"/>
      <c r="R16" s="6"/>
    </row>
    <row r="17" spans="2:18" ht="12" customHeight="1" x14ac:dyDescent="0.35">
      <c r="B17" s="205" t="str">
        <f>IF(COUNTIF(S4:AB4,"Warning")&gt;=1,"- [Line 2, Line 11] If Line 2 is not 0, DCV requirement is not satisfied by the dispersion area. Increase pervious dispersion area in Step 1. DCV or continue to Step 3. Tree Wells.","False")</f>
        <v>False</v>
      </c>
      <c r="C17" s="206"/>
      <c r="D17" s="206"/>
      <c r="E17" s="206"/>
      <c r="F17" s="206"/>
      <c r="G17" s="206"/>
      <c r="H17" s="206"/>
      <c r="I17" s="206"/>
      <c r="J17" s="206"/>
      <c r="K17" s="206"/>
      <c r="L17" s="206"/>
      <c r="M17" s="206"/>
      <c r="N17" s="206"/>
      <c r="O17" s="207"/>
      <c r="P17" s="65"/>
      <c r="Q17" s="6"/>
      <c r="R17" s="6"/>
    </row>
    <row r="18" spans="2:18" ht="12" customHeight="1" x14ac:dyDescent="0.35">
      <c r="B18" s="214" t="str">
        <f>IF(COUNTIF(S5:AB5,"Warning")&gt;=1,"-[Line 3] Please return to Step 1. DCV and select 'Yes' or 'No' for hydromodification management applicability in Line 3.","False")</f>
        <v>False</v>
      </c>
      <c r="C18" s="215"/>
      <c r="D18" s="215"/>
      <c r="E18" s="215"/>
      <c r="F18" s="215"/>
      <c r="G18" s="215"/>
      <c r="H18" s="215"/>
      <c r="I18" s="215"/>
      <c r="J18" s="215"/>
      <c r="K18" s="215"/>
      <c r="L18" s="215"/>
      <c r="M18" s="215"/>
      <c r="N18" s="215"/>
      <c r="O18" s="216"/>
      <c r="P18" s="65"/>
      <c r="Q18" s="6"/>
      <c r="R18" s="6"/>
    </row>
    <row r="19" spans="2:18" ht="11.65" customHeight="1" x14ac:dyDescent="0.35">
      <c r="B19" s="202" t="str">
        <f>IF(COUNTIF(S8:AB8,"Warning")&gt;=1,"- [Line 6, Line 12] To satisfy hydromodification control, the DCV requirement must be fully satisfied AND the impervious to pervious ratio must be 1:1 or less. Provide a larger pervious dispersion area in Step 1. DCV or continue to Step 3. Tree Wells.","False")</f>
        <v>False</v>
      </c>
      <c r="C19" s="203"/>
      <c r="D19" s="203"/>
      <c r="E19" s="203"/>
      <c r="F19" s="203"/>
      <c r="G19" s="203"/>
      <c r="H19" s="203"/>
      <c r="I19" s="203"/>
      <c r="J19" s="203"/>
      <c r="K19" s="203"/>
      <c r="L19" s="203"/>
      <c r="M19" s="203"/>
      <c r="N19" s="203"/>
      <c r="O19" s="204"/>
      <c r="P19" s="65"/>
      <c r="Q19" s="6"/>
      <c r="R19" s="6"/>
    </row>
    <row r="20" spans="2:18" ht="12" customHeight="1" x14ac:dyDescent="0.35">
      <c r="B20" s="205" t="str">
        <f>IF(COUNTIF(S9:AB9,"Warning")&gt;=1,"- [Line 7] Dispersion areas require vegetated sheet flow over a minimum of 10 feet from inflow to overflow route.","False")</f>
        <v>False</v>
      </c>
      <c r="C20" s="206"/>
      <c r="D20" s="206"/>
      <c r="E20" s="206"/>
      <c r="F20" s="206"/>
      <c r="G20" s="206"/>
      <c r="H20" s="206"/>
      <c r="I20" s="206"/>
      <c r="J20" s="206"/>
      <c r="K20" s="206"/>
      <c r="L20" s="206"/>
      <c r="M20" s="206"/>
      <c r="N20" s="206"/>
      <c r="O20" s="207"/>
      <c r="P20" s="65"/>
      <c r="Q20" s="6"/>
      <c r="R20" s="6"/>
    </row>
    <row r="21" spans="2:18" ht="12" customHeight="1" x14ac:dyDescent="0.35">
      <c r="B21" s="198" t="str">
        <f>IF(COUNTIF(S10:AB10,"Warning")&gt;=1,"- [Line 8] Dispersion areas should be flat (with less than 5% slopes).","False")</f>
        <v>False</v>
      </c>
      <c r="C21" s="199"/>
      <c r="D21" s="199"/>
      <c r="E21" s="199"/>
      <c r="F21" s="199"/>
      <c r="G21" s="199"/>
      <c r="H21" s="199"/>
      <c r="I21" s="199"/>
      <c r="J21" s="199"/>
      <c r="K21" s="199"/>
      <c r="L21" s="199"/>
      <c r="M21" s="199"/>
      <c r="N21" s="199"/>
      <c r="O21" s="200"/>
      <c r="P21" s="65"/>
      <c r="Q21" s="6"/>
      <c r="R21" s="6"/>
    </row>
    <row r="22" spans="2:18" ht="12" customHeight="1" x14ac:dyDescent="0.35">
      <c r="B22" s="208" t="str">
        <f>IF(COUNTIF(S11:AB11,"Warning")&gt;=1,"- [Line 9] To satisfy hydromodification control requirements the top 11 inches of the pervious dispersion area must use amended soils in accordance with the SD-F Fact Sheet. Provide minimum of 11 inches amended soil or continue to Step 3. Tree Wells.","False")</f>
        <v>False</v>
      </c>
      <c r="C22" s="209"/>
      <c r="D22" s="209"/>
      <c r="E22" s="209"/>
      <c r="F22" s="209"/>
      <c r="G22" s="209"/>
      <c r="H22" s="209"/>
      <c r="I22" s="209"/>
      <c r="J22" s="209"/>
      <c r="K22" s="209"/>
      <c r="L22" s="209"/>
      <c r="M22" s="209"/>
      <c r="N22" s="209"/>
      <c r="O22" s="210"/>
      <c r="P22" s="65"/>
      <c r="Q22" s="6"/>
      <c r="R22" s="6"/>
    </row>
    <row r="23" spans="2:18" x14ac:dyDescent="0.35">
      <c r="B23" s="109" t="s">
        <v>208</v>
      </c>
      <c r="C23" s="10"/>
      <c r="D23" s="10"/>
      <c r="E23" s="10"/>
      <c r="F23" s="10"/>
      <c r="G23" s="10"/>
      <c r="H23" s="10"/>
      <c r="I23" s="10"/>
      <c r="J23" s="10"/>
      <c r="K23" s="10"/>
      <c r="L23" s="10"/>
      <c r="M23" s="10"/>
      <c r="N23" s="10"/>
      <c r="O23" s="10"/>
      <c r="P23" s="10"/>
      <c r="Q23" s="10"/>
      <c r="R23" s="10"/>
    </row>
    <row r="24" spans="2:18" x14ac:dyDescent="0.35">
      <c r="B24" s="112" t="s">
        <v>138</v>
      </c>
      <c r="C24" s="7"/>
      <c r="D24" s="10"/>
      <c r="E24" s="10"/>
      <c r="F24" s="10"/>
      <c r="G24" s="10"/>
      <c r="H24" s="10"/>
      <c r="I24" s="10"/>
      <c r="J24" s="10"/>
      <c r="K24" s="10"/>
      <c r="L24" s="10"/>
      <c r="M24" s="10"/>
      <c r="N24" s="10"/>
      <c r="O24" s="10"/>
      <c r="P24" s="10"/>
      <c r="Q24" s="10"/>
      <c r="R24" s="10"/>
    </row>
    <row r="25" spans="2:18" x14ac:dyDescent="0.35">
      <c r="B25" s="113" t="s">
        <v>151</v>
      </c>
      <c r="C25" s="7" t="s">
        <v>134</v>
      </c>
      <c r="D25" s="10"/>
      <c r="E25" s="10"/>
      <c r="F25" s="10"/>
      <c r="G25" s="10"/>
      <c r="H25" s="10"/>
      <c r="I25" s="10"/>
      <c r="J25" s="10"/>
      <c r="K25" s="10"/>
      <c r="L25" s="10"/>
      <c r="M25" s="10"/>
      <c r="N25" s="10"/>
      <c r="O25" s="10"/>
      <c r="P25" s="10"/>
      <c r="Q25" s="10"/>
      <c r="R25" s="10"/>
    </row>
    <row r="26" spans="2:18" x14ac:dyDescent="0.35">
      <c r="B26" s="113" t="s">
        <v>152</v>
      </c>
      <c r="C26" s="7" t="s">
        <v>135</v>
      </c>
      <c r="D26" s="10"/>
      <c r="E26" s="10"/>
      <c r="F26" s="10"/>
      <c r="G26" s="10"/>
      <c r="H26" s="10"/>
      <c r="I26" s="10"/>
      <c r="J26" s="10"/>
      <c r="K26" s="10"/>
      <c r="L26" s="10"/>
      <c r="M26" s="10"/>
      <c r="N26" s="10"/>
      <c r="O26" s="10"/>
      <c r="P26" s="12"/>
      <c r="Q26" s="12"/>
      <c r="R26" s="12"/>
    </row>
    <row r="27" spans="2:18" x14ac:dyDescent="0.35">
      <c r="B27" s="113" t="s">
        <v>153</v>
      </c>
      <c r="C27" s="7" t="s">
        <v>136</v>
      </c>
      <c r="D27" s="10"/>
      <c r="E27" s="10"/>
      <c r="F27" s="10"/>
      <c r="G27" s="10"/>
      <c r="H27" s="10"/>
      <c r="I27" s="10"/>
      <c r="J27" s="10"/>
      <c r="K27" s="10"/>
      <c r="L27" s="10"/>
      <c r="M27" s="10"/>
      <c r="N27" s="10"/>
      <c r="O27" s="10"/>
      <c r="P27" s="12"/>
      <c r="Q27" s="12"/>
      <c r="R27" s="12"/>
    </row>
    <row r="28" spans="2:18" x14ac:dyDescent="0.35">
      <c r="B28" s="113" t="s">
        <v>154</v>
      </c>
      <c r="C28" s="7" t="s">
        <v>137</v>
      </c>
      <c r="D28" s="10"/>
      <c r="E28" s="10"/>
      <c r="F28" s="10"/>
      <c r="G28" s="10"/>
      <c r="H28" s="10"/>
      <c r="I28" s="10"/>
      <c r="J28" s="10"/>
      <c r="K28" s="10"/>
      <c r="L28" s="10"/>
      <c r="M28" s="10"/>
      <c r="N28" s="10"/>
      <c r="O28" s="10"/>
      <c r="P28" s="12"/>
      <c r="Q28" s="12"/>
      <c r="R28" s="12"/>
    </row>
    <row r="29" spans="2:18" x14ac:dyDescent="0.35">
      <c r="B29" s="113" t="s">
        <v>155</v>
      </c>
      <c r="C29" s="7" t="s">
        <v>129</v>
      </c>
      <c r="D29" s="12"/>
      <c r="E29" s="10"/>
      <c r="F29" s="10"/>
      <c r="G29" s="10"/>
      <c r="H29" s="10"/>
      <c r="I29" s="10"/>
      <c r="J29" s="10"/>
      <c r="K29" s="10"/>
      <c r="L29" s="10"/>
      <c r="M29" s="10"/>
      <c r="N29" s="10"/>
      <c r="O29" s="10"/>
      <c r="P29" s="12"/>
      <c r="Q29" s="12"/>
      <c r="R29" s="12"/>
    </row>
    <row r="30" spans="2:18" x14ac:dyDescent="0.35">
      <c r="E30" s="12"/>
      <c r="F30" s="12"/>
      <c r="G30" s="12"/>
      <c r="H30" s="12"/>
      <c r="I30" s="12"/>
      <c r="J30" s="12"/>
      <c r="K30" s="12"/>
      <c r="L30" s="12"/>
      <c r="M30" s="12"/>
      <c r="N30" s="12"/>
      <c r="O30" s="12"/>
      <c r="P30" s="12"/>
      <c r="Q30" s="12"/>
      <c r="R30" s="12"/>
    </row>
    <row r="31" spans="2:18" x14ac:dyDescent="0.35">
      <c r="B31" s="11"/>
      <c r="C31" s="12"/>
      <c r="D31" s="12"/>
      <c r="E31" s="12"/>
      <c r="F31" s="12"/>
      <c r="G31" s="12"/>
      <c r="H31" s="12"/>
      <c r="I31" s="12"/>
      <c r="J31" s="12"/>
      <c r="K31" s="12"/>
      <c r="L31" s="12"/>
      <c r="M31" s="12"/>
      <c r="N31" s="12"/>
      <c r="O31" s="12"/>
      <c r="P31" s="12"/>
      <c r="Q31" s="12"/>
      <c r="R31" s="12"/>
    </row>
    <row r="32" spans="2:18" x14ac:dyDescent="0.35">
      <c r="B32" s="11"/>
      <c r="C32" s="12"/>
      <c r="D32" s="12"/>
      <c r="E32" s="12"/>
      <c r="F32" s="12"/>
      <c r="G32" s="12"/>
      <c r="H32" s="12"/>
      <c r="I32" s="12"/>
      <c r="J32" s="12"/>
      <c r="K32" s="12"/>
      <c r="L32" s="12"/>
      <c r="M32" s="12"/>
      <c r="N32" s="12"/>
      <c r="O32" s="12"/>
      <c r="P32" s="12"/>
      <c r="Q32" s="12"/>
      <c r="R32" s="12"/>
    </row>
    <row r="33" spans="2:18" x14ac:dyDescent="0.35">
      <c r="B33" s="11"/>
      <c r="C33" s="12"/>
      <c r="D33" s="12"/>
      <c r="E33" s="12"/>
      <c r="F33" s="12"/>
      <c r="G33" s="12"/>
      <c r="H33" s="12"/>
      <c r="I33" s="12"/>
      <c r="J33" s="12"/>
      <c r="K33" s="12"/>
      <c r="L33" s="12"/>
      <c r="M33" s="12"/>
      <c r="N33" s="12"/>
      <c r="O33" s="12"/>
      <c r="P33" s="12"/>
      <c r="Q33" s="12"/>
      <c r="R33" s="12"/>
    </row>
    <row r="34" spans="2:18" x14ac:dyDescent="0.35">
      <c r="B34" s="11"/>
      <c r="C34" s="12"/>
      <c r="D34" s="12"/>
      <c r="E34" s="12"/>
      <c r="F34" s="12"/>
      <c r="G34" s="12"/>
      <c r="H34" s="12"/>
      <c r="I34" s="12"/>
      <c r="J34" s="12"/>
      <c r="K34" s="12"/>
      <c r="L34" s="12"/>
      <c r="M34" s="12"/>
      <c r="N34" s="12"/>
      <c r="O34" s="12"/>
      <c r="P34" s="12"/>
      <c r="Q34" s="12"/>
      <c r="R34" s="12"/>
    </row>
    <row r="35" spans="2:18" x14ac:dyDescent="0.35">
      <c r="B35" s="11"/>
      <c r="C35" s="12"/>
      <c r="D35" s="12"/>
      <c r="E35" s="12"/>
      <c r="F35" s="12"/>
      <c r="G35" s="12"/>
      <c r="H35" s="12"/>
      <c r="I35" s="12"/>
      <c r="J35" s="12"/>
      <c r="K35" s="12"/>
      <c r="L35" s="12"/>
      <c r="M35" s="12"/>
      <c r="N35" s="12"/>
      <c r="O35" s="12"/>
      <c r="P35" s="12"/>
      <c r="Q35" s="12"/>
      <c r="R35" s="12"/>
    </row>
    <row r="36" spans="2:18" ht="18" customHeight="1" x14ac:dyDescent="0.35">
      <c r="B36" s="11"/>
      <c r="C36" s="12"/>
      <c r="D36" s="12"/>
      <c r="E36" s="12"/>
      <c r="F36" s="12"/>
      <c r="G36" s="12"/>
      <c r="H36" s="12"/>
      <c r="I36" s="12"/>
      <c r="J36" s="12"/>
      <c r="K36" s="12"/>
      <c r="L36" s="12"/>
      <c r="M36" s="12"/>
      <c r="N36" s="12"/>
      <c r="O36" s="12"/>
      <c r="P36" s="12"/>
      <c r="Q36" s="12"/>
      <c r="R36" s="12"/>
    </row>
    <row r="37" spans="2:18" ht="18" customHeight="1" x14ac:dyDescent="0.35">
      <c r="B37" s="11"/>
      <c r="C37" s="12"/>
      <c r="D37" s="12"/>
      <c r="E37" s="12"/>
      <c r="F37" s="12"/>
      <c r="G37" s="12"/>
      <c r="H37" s="12"/>
      <c r="I37" s="12"/>
      <c r="J37" s="12"/>
      <c r="K37" s="12"/>
      <c r="L37" s="12"/>
      <c r="M37" s="12"/>
      <c r="N37" s="12"/>
      <c r="O37" s="12"/>
      <c r="P37" s="12"/>
      <c r="Q37" s="12"/>
      <c r="R37" s="12"/>
    </row>
    <row r="38" spans="2:18" ht="18" customHeight="1" x14ac:dyDescent="0.35">
      <c r="B38" s="11"/>
      <c r="C38" s="12"/>
      <c r="D38" s="12"/>
      <c r="E38" s="12"/>
      <c r="F38" s="12"/>
      <c r="G38" s="12"/>
      <c r="H38" s="12"/>
      <c r="I38" s="12"/>
      <c r="J38" s="12"/>
      <c r="K38" s="12"/>
      <c r="L38" s="12"/>
      <c r="M38" s="12"/>
      <c r="N38" s="12"/>
      <c r="O38" s="12"/>
      <c r="P38" s="12"/>
      <c r="Q38" s="12"/>
      <c r="R38" s="12"/>
    </row>
    <row r="39" spans="2:18" ht="18" customHeight="1" x14ac:dyDescent="0.35">
      <c r="B39" s="11"/>
      <c r="C39" s="12"/>
      <c r="D39" s="12"/>
      <c r="E39" s="12"/>
      <c r="F39" s="12"/>
      <c r="G39" s="12"/>
      <c r="H39" s="12"/>
      <c r="I39" s="12"/>
      <c r="J39" s="12"/>
      <c r="K39" s="12"/>
      <c r="L39" s="12"/>
      <c r="M39" s="12"/>
      <c r="N39" s="12"/>
      <c r="O39" s="12"/>
      <c r="P39" s="12"/>
      <c r="Q39" s="12"/>
      <c r="R39" s="12"/>
    </row>
    <row r="40" spans="2:18" x14ac:dyDescent="0.35">
      <c r="B40" s="201"/>
      <c r="C40" s="201"/>
      <c r="D40" s="201"/>
      <c r="E40" s="201"/>
      <c r="F40" s="201"/>
      <c r="G40" s="201"/>
      <c r="H40" s="201"/>
      <c r="I40" s="201"/>
      <c r="J40" s="201"/>
      <c r="K40" s="201"/>
      <c r="L40" s="201"/>
      <c r="M40" s="201"/>
      <c r="N40" s="201"/>
      <c r="O40" s="201"/>
      <c r="P40" s="201"/>
      <c r="Q40" s="201"/>
      <c r="R40" s="161"/>
    </row>
  </sheetData>
  <sheetProtection algorithmName="SHA-512" hashValue="lTvq/wru6pnR3NXiivodP59ClzVPb0VBHvuGqpbrZuNbAC1ir6K0X7/wBsC+OadMW6AcMfNwmKDmk86+bJrN4w==" saltValue="2+c5dEfh9bHWYvLKrf1v8Q==" spinCount="100000" sheet="1" objects="1" scenarios="1" formatColumns="0"/>
  <dataConsolidate/>
  <mergeCells count="12">
    <mergeCell ref="S2:AB2"/>
    <mergeCell ref="B1:O1"/>
    <mergeCell ref="B21:O21"/>
    <mergeCell ref="B40:Q40"/>
    <mergeCell ref="B19:O19"/>
    <mergeCell ref="B17:O17"/>
    <mergeCell ref="B22:O22"/>
    <mergeCell ref="B16:O16"/>
    <mergeCell ref="B20:O20"/>
    <mergeCell ref="B18:O18"/>
    <mergeCell ref="B3:B12"/>
    <mergeCell ref="B13:B15"/>
  </mergeCells>
  <conditionalFormatting sqref="B16:O17">
    <cfRule type="containsText" dxfId="56" priority="78" operator="containsText" text="No Warning Messages">
      <formula>NOT(ISERROR(SEARCH("No Warning Messages",B16)))</formula>
    </cfRule>
  </conditionalFormatting>
  <conditionalFormatting sqref="E10">
    <cfRule type="expression" dxfId="55" priority="77">
      <formula>S$10="Warning"</formula>
    </cfRule>
  </conditionalFormatting>
  <conditionalFormatting sqref="E9">
    <cfRule type="expression" dxfId="54" priority="76">
      <formula>S$9="Warning"</formula>
    </cfRule>
  </conditionalFormatting>
  <conditionalFormatting sqref="E11">
    <cfRule type="expression" dxfId="53" priority="75">
      <formula>S$11="Warning"</formula>
    </cfRule>
  </conditionalFormatting>
  <conditionalFormatting sqref="F10:N10">
    <cfRule type="expression" dxfId="52" priority="52">
      <formula>T$10="Warning"</formula>
    </cfRule>
  </conditionalFormatting>
  <conditionalFormatting sqref="F9:N9">
    <cfRule type="expression" dxfId="51" priority="51">
      <formula>T$9="Warning"</formula>
    </cfRule>
  </conditionalFormatting>
  <conditionalFormatting sqref="F11:N11">
    <cfRule type="expression" dxfId="50" priority="50">
      <formula>T$11="Warning"</formula>
    </cfRule>
  </conditionalFormatting>
  <conditionalFormatting sqref="E5">
    <cfRule type="expression" dxfId="49" priority="39">
      <formula>S$5="Warning"</formula>
    </cfRule>
  </conditionalFormatting>
  <conditionalFormatting sqref="B17:O22">
    <cfRule type="cellIs" dxfId="48" priority="37" operator="equal">
      <formula>"False"</formula>
    </cfRule>
  </conditionalFormatting>
  <conditionalFormatting sqref="E8">
    <cfRule type="cellIs" dxfId="47" priority="36" operator="equal">
      <formula>"Incomplete"</formula>
    </cfRule>
  </conditionalFormatting>
  <conditionalFormatting sqref="F5:N5">
    <cfRule type="expression" dxfId="46" priority="32">
      <formula>T$5="Warning"</formula>
    </cfRule>
  </conditionalFormatting>
  <conditionalFormatting sqref="F8:N8">
    <cfRule type="cellIs" dxfId="45" priority="31" operator="equal">
      <formula>"Incomplete"</formula>
    </cfRule>
  </conditionalFormatting>
  <conditionalFormatting sqref="E13">
    <cfRule type="cellIs" dxfId="44" priority="20" operator="equal">
      <formula>"Incomplete"</formula>
    </cfRule>
    <cfRule type="cellIs" dxfId="43" priority="27" operator="equal">
      <formula>"No"</formula>
    </cfRule>
  </conditionalFormatting>
  <conditionalFormatting sqref="E14">
    <cfRule type="cellIs" dxfId="42" priority="21" operator="equal">
      <formula>"Incomplete"</formula>
    </cfRule>
    <cfRule type="cellIs" dxfId="41" priority="26" operator="equal">
      <formula>"No"</formula>
    </cfRule>
  </conditionalFormatting>
  <conditionalFormatting sqref="E15">
    <cfRule type="cellIs" dxfId="40" priority="19" operator="equal">
      <formula>"Incomplete"</formula>
    </cfRule>
    <cfRule type="cellIs" dxfId="39" priority="25" operator="equal">
      <formula>"No"</formula>
    </cfRule>
  </conditionalFormatting>
  <conditionalFormatting sqref="N13">
    <cfRule type="cellIs" dxfId="38" priority="14" operator="equal">
      <formula>"Incomplete"</formula>
    </cfRule>
    <cfRule type="cellIs" dxfId="37" priority="18" operator="equal">
      <formula>"No"</formula>
    </cfRule>
  </conditionalFormatting>
  <conditionalFormatting sqref="N15">
    <cfRule type="cellIs" dxfId="36" priority="13" operator="equal">
      <formula>"Incomplete"</formula>
    </cfRule>
    <cfRule type="cellIs" dxfId="35" priority="16" operator="equal">
      <formula>"No"</formula>
    </cfRule>
  </conditionalFormatting>
  <conditionalFormatting sqref="F13:M13">
    <cfRule type="cellIs" dxfId="34" priority="8" operator="equal">
      <formula>"Incomplete"</formula>
    </cfRule>
    <cfRule type="cellIs" dxfId="33" priority="12" operator="equal">
      <formula>"No"</formula>
    </cfRule>
  </conditionalFormatting>
  <conditionalFormatting sqref="F15:M15">
    <cfRule type="cellIs" dxfId="32" priority="7" operator="equal">
      <formula>"Incomplete"</formula>
    </cfRule>
    <cfRule type="cellIs" dxfId="31" priority="10" operator="equal">
      <formula>"No"</formula>
    </cfRule>
  </conditionalFormatting>
  <conditionalFormatting sqref="F14:N14">
    <cfRule type="cellIs" dxfId="30" priority="1" operator="equal">
      <formula>"Incomplete"</formula>
    </cfRule>
    <cfRule type="cellIs" dxfId="29" priority="2" operator="equal">
      <formula>"No"</formula>
    </cfRule>
  </conditionalFormatting>
  <dataValidations count="2">
    <dataValidation type="decimal" allowBlank="1" showInputMessage="1" showErrorMessage="1" sqref="E9:N9" xr:uid="{00000000-0002-0000-0300-000003000000}">
      <formula1>0</formula1>
      <formula2>5280</formula2>
    </dataValidation>
    <dataValidation type="decimal" allowBlank="1" showInputMessage="1" showErrorMessage="1" sqref="E10:N10" xr:uid="{00000000-0002-0000-0300-000004000000}">
      <formula1>0</formula1>
      <formula2>100</formula2>
    </dataValidation>
  </dataValidations>
  <pageMargins left="0.7" right="0.7" top="0.5" bottom="0.5" header="0.3" footer="0.3"/>
  <pageSetup scale="53" pageOrder="overThenDown" orientation="landscape" r:id="rId1"/>
  <ignoredErrors>
    <ignoredError sqref="E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7AC346-D1DB-491F-BBED-38F1AE50FE3E}">
          <x14:formula1>
            <xm:f>Ref_Dispersion!$B$7:$B$11</xm:f>
          </x14:formula1>
          <xm:sqref>E12:N12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B1:AC48"/>
  <sheetViews>
    <sheetView showGridLines="0" tabSelected="1" zoomScale="70" zoomScaleNormal="70" workbookViewId="0"/>
  </sheetViews>
  <sheetFormatPr defaultColWidth="9.1796875" defaultRowHeight="14.5" x14ac:dyDescent="0.35"/>
  <cols>
    <col min="1" max="1" width="2.7265625" style="65" customWidth="1"/>
    <col min="2" max="2" width="15.7265625" style="65" customWidth="1"/>
    <col min="3" max="3" width="4.7265625" style="65" customWidth="1"/>
    <col min="4" max="4" width="80.7265625" style="65" customWidth="1"/>
    <col min="5" max="14" width="16.7265625" style="65" customWidth="1"/>
    <col min="15" max="15" width="12.7265625" style="65" customWidth="1"/>
    <col min="16" max="16" width="6.7265625" style="65" customWidth="1"/>
    <col min="17" max="17" width="136.26953125" style="65" hidden="1" customWidth="1"/>
    <col min="18" max="18" width="6.7265625" style="65" hidden="1" customWidth="1"/>
    <col min="19" max="19" width="9.1796875" style="65" hidden="1" customWidth="1"/>
    <col min="20" max="20" width="11.54296875" style="65" hidden="1" customWidth="1"/>
    <col min="21" max="29" width="9.1796875" style="65" hidden="1" customWidth="1"/>
    <col min="30" max="16384" width="9.1796875" style="65"/>
  </cols>
  <sheetData>
    <row r="1" spans="2:29" ht="21.65" customHeight="1" x14ac:dyDescent="0.35">
      <c r="B1" s="217" t="s">
        <v>323</v>
      </c>
      <c r="C1" s="218"/>
      <c r="D1" s="218"/>
      <c r="E1" s="218"/>
      <c r="F1" s="218"/>
      <c r="G1" s="218"/>
      <c r="H1" s="218"/>
      <c r="I1" s="218"/>
      <c r="J1" s="218"/>
      <c r="K1" s="218"/>
      <c r="L1" s="218"/>
      <c r="M1" s="218"/>
      <c r="N1" s="218"/>
      <c r="O1" s="219"/>
      <c r="P1" s="43"/>
      <c r="Q1" s="45" t="s">
        <v>29</v>
      </c>
      <c r="R1" s="46"/>
    </row>
    <row r="2" spans="2:29" ht="18" customHeight="1" x14ac:dyDescent="0.35">
      <c r="B2" s="78" t="s">
        <v>7</v>
      </c>
      <c r="C2" s="78" t="s">
        <v>5</v>
      </c>
      <c r="D2" s="78" t="s">
        <v>0</v>
      </c>
      <c r="E2" s="82" t="s">
        <v>30</v>
      </c>
      <c r="F2" s="82" t="s">
        <v>31</v>
      </c>
      <c r="G2" s="82" t="s">
        <v>32</v>
      </c>
      <c r="H2" s="82" t="s">
        <v>33</v>
      </c>
      <c r="I2" s="82" t="s">
        <v>34</v>
      </c>
      <c r="J2" s="82" t="s">
        <v>35</v>
      </c>
      <c r="K2" s="82" t="s">
        <v>36</v>
      </c>
      <c r="L2" s="82" t="s">
        <v>65</v>
      </c>
      <c r="M2" s="82" t="s">
        <v>37</v>
      </c>
      <c r="N2" s="82" t="s">
        <v>38</v>
      </c>
      <c r="O2" s="78" t="s">
        <v>1</v>
      </c>
      <c r="Q2" s="83" t="s">
        <v>326</v>
      </c>
      <c r="S2" s="177" t="s">
        <v>28</v>
      </c>
      <c r="T2" s="178"/>
      <c r="U2" s="178"/>
      <c r="V2" s="178"/>
      <c r="W2" s="178"/>
      <c r="X2" s="178"/>
      <c r="Y2" s="178"/>
      <c r="Z2" s="178"/>
      <c r="AA2" s="178"/>
      <c r="AB2" s="179"/>
    </row>
    <row r="3" spans="2:29" ht="18" customHeight="1" x14ac:dyDescent="0.35">
      <c r="B3" s="189" t="s">
        <v>109</v>
      </c>
      <c r="C3" s="66">
        <v>1</v>
      </c>
      <c r="D3" s="80" t="s">
        <v>51</v>
      </c>
      <c r="E3" s="140" t="str">
        <f>IF(AND('Step 1. DCV'!E3&lt;&gt;"",'Step 1. DCV'!E39&gt;0),'Step 1. DCV'!E3,"-")</f>
        <v>-</v>
      </c>
      <c r="F3" s="140" t="str">
        <f>IF(AND('Step 1. DCV'!F3&lt;&gt;"",'Step 1. DCV'!F39&gt;0),'Step 1. DCV'!F3,"-")</f>
        <v>-</v>
      </c>
      <c r="G3" s="140" t="str">
        <f>IF(AND('Step 1. DCV'!G3&lt;&gt;"",'Step 1. DCV'!G39&gt;0),'Step 1. DCV'!G3,"-")</f>
        <v>-</v>
      </c>
      <c r="H3" s="140" t="str">
        <f>IF(AND('Step 1. DCV'!H3&lt;&gt;"",'Step 1. DCV'!H39&gt;0),'Step 1. DCV'!H3,"-")</f>
        <v>-</v>
      </c>
      <c r="I3" s="140" t="str">
        <f>IF(AND('Step 1. DCV'!I3&lt;&gt;"",'Step 1. DCV'!I39&gt;0),'Step 1. DCV'!I3,"-")</f>
        <v>-</v>
      </c>
      <c r="J3" s="140" t="str">
        <f>IF(AND('Step 1. DCV'!J3&lt;&gt;"",'Step 1. DCV'!J39&gt;0),'Step 1. DCV'!J3,"-")</f>
        <v>-</v>
      </c>
      <c r="K3" s="140" t="str">
        <f>IF(AND('Step 1. DCV'!K3&lt;&gt;"",'Step 1. DCV'!K39&gt;0),'Step 1. DCV'!K3,"-")</f>
        <v>-</v>
      </c>
      <c r="L3" s="140" t="str">
        <f>IF(AND('Step 1. DCV'!L3&lt;&gt;"",'Step 1. DCV'!L39&gt;0),'Step 1. DCV'!L3,"-")</f>
        <v>-</v>
      </c>
      <c r="M3" s="140" t="str">
        <f>IF(AND('Step 1. DCV'!M3&lt;&gt;"",'Step 1. DCV'!M39&gt;0),'Step 1. DCV'!M3,"-")</f>
        <v>-</v>
      </c>
      <c r="N3" s="140" t="str">
        <f>IF(AND('Step 1. DCV'!N3&lt;&gt;"",'Step 1. DCV'!N39&gt;0),'Step 1. DCV'!N3,"-")</f>
        <v>-</v>
      </c>
      <c r="O3" s="67" t="s">
        <v>12</v>
      </c>
      <c r="Q3" s="116" t="s">
        <v>318</v>
      </c>
      <c r="S3" s="104"/>
      <c r="T3" s="105"/>
      <c r="U3" s="105"/>
      <c r="V3" s="105"/>
      <c r="W3" s="105"/>
      <c r="X3" s="105"/>
      <c r="Y3" s="105"/>
      <c r="Z3" s="105"/>
      <c r="AA3" s="105"/>
      <c r="AB3" s="106"/>
    </row>
    <row r="4" spans="2:29" ht="18" customHeight="1" x14ac:dyDescent="0.35">
      <c r="B4" s="190"/>
      <c r="C4" s="66">
        <v>2</v>
      </c>
      <c r="D4" s="103" t="s">
        <v>8</v>
      </c>
      <c r="E4" s="141" t="str">
        <f>IF(E3&lt;&gt;"-",'Step 1. DCV'!E39,"-")</f>
        <v>-</v>
      </c>
      <c r="F4" s="141" t="str">
        <f>IF(F3&lt;&gt;"-",'Step 1. DCV'!F39,"-")</f>
        <v>-</v>
      </c>
      <c r="G4" s="141" t="str">
        <f>IF(G3&lt;&gt;"-",'Step 1. DCV'!G39,"-")</f>
        <v>-</v>
      </c>
      <c r="H4" s="141" t="str">
        <f>IF(H3&lt;&gt;"-",'Step 1. DCV'!H39,"-")</f>
        <v>-</v>
      </c>
      <c r="I4" s="141" t="str">
        <f>IF(I3&lt;&gt;"-",'Step 1. DCV'!I39,"-")</f>
        <v>-</v>
      </c>
      <c r="J4" s="141" t="str">
        <f>IF(J3&lt;&gt;"-",'Step 1. DCV'!J39,"-")</f>
        <v>-</v>
      </c>
      <c r="K4" s="141" t="str">
        <f>IF(K3&lt;&gt;"-",'Step 1. DCV'!K39,"-")</f>
        <v>-</v>
      </c>
      <c r="L4" s="141" t="str">
        <f>IF(L3&lt;&gt;"-",'Step 1. DCV'!L39,"-")</f>
        <v>-</v>
      </c>
      <c r="M4" s="141" t="str">
        <f>IF(M3&lt;&gt;"-",'Step 1. DCV'!M39,"-")</f>
        <v>-</v>
      </c>
      <c r="N4" s="141" t="str">
        <f>IF(N3&lt;&gt;"-",'Step 1. DCV'!N39,"-")</f>
        <v>-</v>
      </c>
      <c r="O4" s="67" t="s">
        <v>2</v>
      </c>
      <c r="Q4" s="86" t="s">
        <v>319</v>
      </c>
      <c r="S4" s="5"/>
      <c r="T4" s="44"/>
      <c r="U4" s="44"/>
      <c r="V4" s="44"/>
      <c r="W4" s="44"/>
      <c r="X4" s="44"/>
      <c r="Y4" s="44"/>
      <c r="Z4" s="44"/>
      <c r="AA4" s="44"/>
      <c r="AB4" s="47"/>
    </row>
    <row r="5" spans="2:29" ht="18" customHeight="1" x14ac:dyDescent="0.35">
      <c r="B5" s="190"/>
      <c r="C5" s="66">
        <v>3</v>
      </c>
      <c r="D5" s="80" t="s">
        <v>119</v>
      </c>
      <c r="E5" s="140" t="str">
        <f>IF(E3="-","-",
IF('Step 1. DCV'!E5="","Incomplete",'Step 1. DCV'!E5))</f>
        <v>-</v>
      </c>
      <c r="F5" s="140" t="str">
        <f>IF(F3="-","-",
IF('Step 1. DCV'!F5="","Incomplete",'Step 1. DCV'!F5))</f>
        <v>-</v>
      </c>
      <c r="G5" s="140" t="str">
        <f>IF(G3="-","-",
IF('Step 1. DCV'!G5="","Incomplete",'Step 1. DCV'!G5))</f>
        <v>-</v>
      </c>
      <c r="H5" s="140" t="str">
        <f>IF(H3="-","-",
IF('Step 1. DCV'!H5="","Incomplete",'Step 1. DCV'!H5))</f>
        <v>-</v>
      </c>
      <c r="I5" s="140" t="str">
        <f>IF(I3="-","-",
IF('Step 1. DCV'!I5="","Incomplete",'Step 1. DCV'!I5))</f>
        <v>-</v>
      </c>
      <c r="J5" s="140" t="str">
        <f>IF(J3="-","-",
IF('Step 1. DCV'!J5="","Incomplete",'Step 1. DCV'!J5))</f>
        <v>-</v>
      </c>
      <c r="K5" s="140" t="str">
        <f>IF(K3="-","-",
IF('Step 1. DCV'!K5="","Incomplete",'Step 1. DCV'!K5))</f>
        <v>-</v>
      </c>
      <c r="L5" s="140" t="str">
        <f>IF(L3="-","-",
IF('Step 1. DCV'!L5="","Incomplete",'Step 1. DCV'!L5))</f>
        <v>-</v>
      </c>
      <c r="M5" s="140" t="str">
        <f>IF(M3="-","-",
IF('Step 1. DCV'!M5="","Incomplete",'Step 1. DCV'!M5))</f>
        <v>-</v>
      </c>
      <c r="N5" s="140" t="str">
        <f>IF(N3="-","-",
IF('Step 1. DCV'!N5="","Incomplete",'Step 1. DCV'!N5))</f>
        <v>-</v>
      </c>
      <c r="O5" s="67" t="s">
        <v>15</v>
      </c>
      <c r="Q5" s="86" t="s">
        <v>320</v>
      </c>
      <c r="S5" s="5" t="str">
        <f>IF(E5="Incomplete","Warning","Ok")</f>
        <v>Ok</v>
      </c>
      <c r="T5" s="44" t="str">
        <f>IF(F5="Incomplete","Warning","Ok")</f>
        <v>Ok</v>
      </c>
      <c r="U5" s="44" t="str">
        <f t="shared" ref="U5:Z5" si="0">IF(G5="Incomplete","Warning","Ok")</f>
        <v>Ok</v>
      </c>
      <c r="V5" s="44" t="str">
        <f t="shared" si="0"/>
        <v>Ok</v>
      </c>
      <c r="W5" s="44" t="str">
        <f t="shared" si="0"/>
        <v>Ok</v>
      </c>
      <c r="X5" s="44" t="str">
        <f t="shared" si="0"/>
        <v>Ok</v>
      </c>
      <c r="Y5" s="44" t="str">
        <f t="shared" si="0"/>
        <v>Ok</v>
      </c>
      <c r="Z5" s="44" t="str">
        <f t="shared" si="0"/>
        <v>Ok</v>
      </c>
      <c r="AA5" s="44" t="str">
        <f>IF(M5="Incomplete","Warning","Ok")</f>
        <v>Ok</v>
      </c>
      <c r="AB5" s="47" t="str">
        <f>IF(N5="Incomplete","Warning","Ok")</f>
        <v>Ok</v>
      </c>
      <c r="AC5" s="65" t="s">
        <v>239</v>
      </c>
    </row>
    <row r="6" spans="2:29" ht="18" customHeight="1" x14ac:dyDescent="0.35">
      <c r="B6" s="190"/>
      <c r="C6" s="66">
        <v>4</v>
      </c>
      <c r="D6" s="80" t="s">
        <v>122</v>
      </c>
      <c r="E6" s="137"/>
      <c r="F6" s="137"/>
      <c r="G6" s="137"/>
      <c r="H6" s="137"/>
      <c r="I6" s="137"/>
      <c r="J6" s="137"/>
      <c r="K6" s="137"/>
      <c r="L6" s="137"/>
      <c r="M6" s="137"/>
      <c r="N6" s="137"/>
      <c r="O6" s="67" t="s">
        <v>12</v>
      </c>
      <c r="Q6" s="86" t="s">
        <v>121</v>
      </c>
      <c r="S6" s="5" t="str">
        <f>IF(AND(E5="Yes",E6=""),"Warning","Ok")</f>
        <v>Ok</v>
      </c>
      <c r="T6" s="44" t="str">
        <f t="shared" ref="T6:AB6" si="1">IF(AND(F5="Yes",F6=""),"Warning","Ok")</f>
        <v>Ok</v>
      </c>
      <c r="U6" s="44" t="str">
        <f t="shared" si="1"/>
        <v>Ok</v>
      </c>
      <c r="V6" s="44" t="str">
        <f t="shared" si="1"/>
        <v>Ok</v>
      </c>
      <c r="W6" s="44" t="str">
        <f t="shared" si="1"/>
        <v>Ok</v>
      </c>
      <c r="X6" s="44" t="str">
        <f t="shared" si="1"/>
        <v>Ok</v>
      </c>
      <c r="Y6" s="44" t="str">
        <f t="shared" si="1"/>
        <v>Ok</v>
      </c>
      <c r="Z6" s="44" t="str">
        <f t="shared" si="1"/>
        <v>Ok</v>
      </c>
      <c r="AA6" s="44" t="str">
        <f t="shared" si="1"/>
        <v>Ok</v>
      </c>
      <c r="AB6" s="47" t="str">
        <f t="shared" si="1"/>
        <v>Ok</v>
      </c>
      <c r="AC6" s="65" t="s">
        <v>194</v>
      </c>
    </row>
    <row r="7" spans="2:29" ht="36" customHeight="1" x14ac:dyDescent="0.35">
      <c r="B7" s="190"/>
      <c r="C7" s="66">
        <v>5</v>
      </c>
      <c r="D7" s="103" t="s">
        <v>267</v>
      </c>
      <c r="E7" s="138"/>
      <c r="F7" s="138"/>
      <c r="G7" s="138"/>
      <c r="H7" s="138"/>
      <c r="I7" s="138"/>
      <c r="J7" s="138"/>
      <c r="K7" s="138"/>
      <c r="L7" s="138"/>
      <c r="M7" s="138"/>
      <c r="N7" s="138"/>
      <c r="O7" s="67" t="s">
        <v>12</v>
      </c>
      <c r="Q7" s="148" t="s">
        <v>283</v>
      </c>
      <c r="S7" s="5"/>
      <c r="T7" s="44"/>
      <c r="U7" s="44"/>
      <c r="V7" s="44"/>
      <c r="W7" s="44"/>
      <c r="X7" s="44"/>
      <c r="Y7" s="44"/>
      <c r="Z7" s="44"/>
      <c r="AA7" s="44"/>
      <c r="AB7" s="47"/>
    </row>
    <row r="8" spans="2:29" ht="36" customHeight="1" x14ac:dyDescent="0.35">
      <c r="B8" s="190"/>
      <c r="C8" s="66">
        <v>6</v>
      </c>
      <c r="D8" s="103" t="s">
        <v>238</v>
      </c>
      <c r="E8" s="137"/>
      <c r="F8" s="137"/>
      <c r="G8" s="137"/>
      <c r="H8" s="137"/>
      <c r="I8" s="137"/>
      <c r="J8" s="137"/>
      <c r="K8" s="137"/>
      <c r="L8" s="137"/>
      <c r="M8" s="137"/>
      <c r="N8" s="137"/>
      <c r="O8" s="67" t="s">
        <v>3</v>
      </c>
      <c r="Q8" s="85" t="s">
        <v>174</v>
      </c>
      <c r="S8" s="5"/>
      <c r="T8" s="44"/>
      <c r="U8" s="44"/>
      <c r="V8" s="44"/>
      <c r="W8" s="44"/>
      <c r="X8" s="44"/>
      <c r="Y8" s="44"/>
      <c r="Z8" s="44"/>
      <c r="AA8" s="44"/>
      <c r="AB8" s="47"/>
    </row>
    <row r="9" spans="2:29" ht="18" customHeight="1" x14ac:dyDescent="0.35">
      <c r="B9" s="190"/>
      <c r="C9" s="66">
        <v>7</v>
      </c>
      <c r="D9" s="80" t="s">
        <v>209</v>
      </c>
      <c r="E9" s="137"/>
      <c r="F9" s="137"/>
      <c r="G9" s="137"/>
      <c r="H9" s="137"/>
      <c r="I9" s="137"/>
      <c r="J9" s="137"/>
      <c r="K9" s="137"/>
      <c r="L9" s="137"/>
      <c r="M9" s="137"/>
      <c r="N9" s="137"/>
      <c r="O9" s="67" t="s">
        <v>118</v>
      </c>
      <c r="Q9" s="86" t="s">
        <v>126</v>
      </c>
      <c r="S9" s="5"/>
      <c r="T9" s="44"/>
      <c r="U9" s="44"/>
      <c r="V9" s="44"/>
      <c r="W9" s="44"/>
      <c r="X9" s="44"/>
      <c r="Y9" s="44"/>
      <c r="Z9" s="44"/>
      <c r="AA9" s="44"/>
      <c r="AB9" s="47"/>
    </row>
    <row r="10" spans="2:29" ht="18" customHeight="1" x14ac:dyDescent="0.35">
      <c r="B10" s="190"/>
      <c r="C10" s="66">
        <v>8</v>
      </c>
      <c r="D10" s="103" t="s">
        <v>166</v>
      </c>
      <c r="E10" s="139"/>
      <c r="F10" s="139"/>
      <c r="G10" s="139"/>
      <c r="H10" s="139"/>
      <c r="I10" s="139"/>
      <c r="J10" s="139"/>
      <c r="K10" s="139"/>
      <c r="L10" s="139"/>
      <c r="M10" s="139"/>
      <c r="N10" s="139"/>
      <c r="O10" s="67" t="s">
        <v>108</v>
      </c>
      <c r="Q10" s="86" t="s">
        <v>140</v>
      </c>
      <c r="S10" s="5" t="str">
        <f>IF(OR(E3="-",E10="",E7=""),"Ok",
IF((E10&lt;=3*(E14/2)),"Ok","Warning"))</f>
        <v>Ok</v>
      </c>
      <c r="T10" s="44" t="str">
        <f t="shared" ref="T10:AB10" si="2">IF(OR(F3="-",F10="",F7=""),"Ok",
IF((F10&lt;=3*(F14/2)),"Ok","Warning"))</f>
        <v>Ok</v>
      </c>
      <c r="U10" s="44" t="str">
        <f t="shared" si="2"/>
        <v>Ok</v>
      </c>
      <c r="V10" s="44" t="str">
        <f t="shared" si="2"/>
        <v>Ok</v>
      </c>
      <c r="W10" s="44" t="str">
        <f t="shared" si="2"/>
        <v>Ok</v>
      </c>
      <c r="X10" s="44" t="str">
        <f t="shared" si="2"/>
        <v>Ok</v>
      </c>
      <c r="Y10" s="44" t="str">
        <f t="shared" si="2"/>
        <v>Ok</v>
      </c>
      <c r="Z10" s="44" t="str">
        <f t="shared" si="2"/>
        <v>Ok</v>
      </c>
      <c r="AA10" s="44" t="str">
        <f t="shared" si="2"/>
        <v>Ok</v>
      </c>
      <c r="AB10" s="47" t="str">
        <f t="shared" si="2"/>
        <v>Ok</v>
      </c>
      <c r="AC10" s="65" t="s">
        <v>195</v>
      </c>
    </row>
    <row r="11" spans="2:29" ht="18" customHeight="1" x14ac:dyDescent="0.35">
      <c r="B11" s="191"/>
      <c r="C11" s="66">
        <v>9</v>
      </c>
      <c r="D11" s="103" t="s">
        <v>167</v>
      </c>
      <c r="E11" s="139"/>
      <c r="F11" s="139"/>
      <c r="G11" s="139"/>
      <c r="H11" s="139"/>
      <c r="I11" s="139"/>
      <c r="J11" s="139"/>
      <c r="K11" s="139"/>
      <c r="L11" s="139"/>
      <c r="M11" s="139"/>
      <c r="N11" s="139"/>
      <c r="O11" s="67" t="s">
        <v>108</v>
      </c>
      <c r="Q11" s="86" t="s">
        <v>181</v>
      </c>
      <c r="S11" s="5" t="str">
        <f>IF(OR(E3="-",E11="",E7=""),"Ok",
IF((E11&lt;=3*(E14/2)),"Ok","Warning"))</f>
        <v>Ok</v>
      </c>
      <c r="T11" s="44" t="str">
        <f t="shared" ref="T11:AB11" si="3">IF(OR(F3="-",F11="",F7=""),"Ok",
IF((F11&lt;=3*(F14/2)),"Ok","Warning"))</f>
        <v>Ok</v>
      </c>
      <c r="U11" s="44" t="str">
        <f t="shared" si="3"/>
        <v>Ok</v>
      </c>
      <c r="V11" s="44" t="str">
        <f t="shared" si="3"/>
        <v>Ok</v>
      </c>
      <c r="W11" s="44" t="str">
        <f t="shared" si="3"/>
        <v>Ok</v>
      </c>
      <c r="X11" s="44" t="str">
        <f t="shared" si="3"/>
        <v>Ok</v>
      </c>
      <c r="Y11" s="44" t="str">
        <f t="shared" si="3"/>
        <v>Ok</v>
      </c>
      <c r="Z11" s="44" t="str">
        <f t="shared" si="3"/>
        <v>Ok</v>
      </c>
      <c r="AA11" s="44" t="str">
        <f t="shared" si="3"/>
        <v>Ok</v>
      </c>
      <c r="AB11" s="47" t="str">
        <f t="shared" si="3"/>
        <v>Ok</v>
      </c>
      <c r="AC11" s="65" t="s">
        <v>196</v>
      </c>
    </row>
    <row r="12" spans="2:29" ht="36" customHeight="1" x14ac:dyDescent="0.35">
      <c r="B12" s="189" t="s">
        <v>116</v>
      </c>
      <c r="C12" s="66">
        <v>10</v>
      </c>
      <c r="D12" s="80" t="s">
        <v>234</v>
      </c>
      <c r="E12" s="114" t="str">
        <f>IF(OR(E3="-",E7=""),"-",VLOOKUP(E7,Ref_Tree_Wells!$D$3:$H$26,2,FALSE))</f>
        <v>-</v>
      </c>
      <c r="F12" s="114" t="str">
        <f>IF(OR(F3="-",F7=""),"-",VLOOKUP(F7,Ref_Tree_Wells!$D$3:$H$26,2,FALSE))</f>
        <v>-</v>
      </c>
      <c r="G12" s="114" t="str">
        <f>IF(OR(G3="-",G7=""),"-",VLOOKUP(G7,Ref_Tree_Wells!$D$3:$H$26,2,FALSE))</f>
        <v>-</v>
      </c>
      <c r="H12" s="114" t="str">
        <f>IF(OR(H3="-",H7=""),"-",VLOOKUP(H7,Ref_Tree_Wells!$D$3:$H$26,2,FALSE))</f>
        <v>-</v>
      </c>
      <c r="I12" s="114" t="str">
        <f>IF(OR(I3="-",I7=""),"-",VLOOKUP(I7,Ref_Tree_Wells!$D$3:$H$26,2,FALSE))</f>
        <v>-</v>
      </c>
      <c r="J12" s="114" t="str">
        <f>IF(OR(J3="-",J7=""),"-",VLOOKUP(J7,Ref_Tree_Wells!$D$3:$H$26,2,FALSE))</f>
        <v>-</v>
      </c>
      <c r="K12" s="114" t="str">
        <f>IF(OR(K3="-",K7=""),"-",VLOOKUP(K7,Ref_Tree_Wells!$D$3:$H$26,2,FALSE))</f>
        <v>-</v>
      </c>
      <c r="L12" s="114" t="str">
        <f>IF(OR(L3="-",L7=""),"-",VLOOKUP(L7,Ref_Tree_Wells!$D$3:$H$26,2,FALSE))</f>
        <v>-</v>
      </c>
      <c r="M12" s="114" t="str">
        <f>IF(OR(M3="-",M7=""),"-",VLOOKUP(M7,Ref_Tree_Wells!$D$3:$H$26,2,FALSE))</f>
        <v>-</v>
      </c>
      <c r="N12" s="114" t="str">
        <f>IF(OR(N3="-",N7=""),"-",VLOOKUP(N7,Ref_Tree_Wells!$D$3:$H$26,2,FALSE))</f>
        <v>-</v>
      </c>
      <c r="O12" s="67" t="s">
        <v>12</v>
      </c>
      <c r="Q12" s="85" t="s">
        <v>288</v>
      </c>
      <c r="S12" s="5" t="str">
        <f>IF(E12="Provide in PDP SWQMP","Warning","Ok")</f>
        <v>Ok</v>
      </c>
      <c r="T12" s="44" t="str">
        <f>IF(F12="Provide in PDP SWQMP","Warning","Ok")</f>
        <v>Ok</v>
      </c>
      <c r="U12" s="44" t="str">
        <f t="shared" ref="U12:Z12" si="4">IF(G12="Provide in PDP SWQMP","Warning","Ok")</f>
        <v>Ok</v>
      </c>
      <c r="V12" s="44" t="str">
        <f t="shared" si="4"/>
        <v>Ok</v>
      </c>
      <c r="W12" s="44" t="str">
        <f t="shared" si="4"/>
        <v>Ok</v>
      </c>
      <c r="X12" s="44" t="str">
        <f t="shared" si="4"/>
        <v>Ok</v>
      </c>
      <c r="Y12" s="44" t="str">
        <f t="shared" si="4"/>
        <v>Ok</v>
      </c>
      <c r="Z12" s="44" t="str">
        <f t="shared" si="4"/>
        <v>Ok</v>
      </c>
      <c r="AA12" s="44" t="str">
        <f>IF(M12="Provide in PDP SWQMP","Warning","Ok")</f>
        <v>Ok</v>
      </c>
      <c r="AB12" s="47" t="str">
        <f>IF(N12="Provide in PDP SWQMP","Warning","Ok")</f>
        <v>Ok</v>
      </c>
      <c r="AC12" s="65" t="s">
        <v>289</v>
      </c>
    </row>
    <row r="13" spans="2:29" ht="36" customHeight="1" x14ac:dyDescent="0.35">
      <c r="B13" s="190"/>
      <c r="C13" s="66">
        <v>11</v>
      </c>
      <c r="D13" s="103" t="s">
        <v>176</v>
      </c>
      <c r="E13" s="114" t="str">
        <f>IF(OR(E3="-",E7=""),"-",
IF(VLOOKUP(E7,Ref_Tree_Wells!$D$3:$H$26,3,FALSE)="","Provide in PDP SWQMP",VLOOKUP(E7,Ref_Tree_Wells!$D$3:$H$26,3,FALSE)))</f>
        <v>-</v>
      </c>
      <c r="F13" s="114" t="str">
        <f>IF(OR(F3="-",F7=""),"-",
IF(VLOOKUP(F7,Ref_Tree_Wells!$D$3:$H$26,3,FALSE)="","Provide in PDP SWQMP",VLOOKUP(F7,Ref_Tree_Wells!$D$3:$H$26,3,FALSE)))</f>
        <v>-</v>
      </c>
      <c r="G13" s="114" t="str">
        <f>IF(OR(G3="-",G7=""),"-",
IF(VLOOKUP(G7,Ref_Tree_Wells!$D$3:$H$26,3,FALSE)="","Provide in PDP SWQMP",VLOOKUP(G7,Ref_Tree_Wells!$D$3:$H$26,3,FALSE)))</f>
        <v>-</v>
      </c>
      <c r="H13" s="114" t="str">
        <f>IF(OR(H3="-",H7=""),"-",
IF(VLOOKUP(H7,Ref_Tree_Wells!$D$3:$H$26,3,FALSE)="","Provide in PDP SWQMP",VLOOKUP(H7,Ref_Tree_Wells!$D$3:$H$26,3,FALSE)))</f>
        <v>-</v>
      </c>
      <c r="I13" s="114" t="str">
        <f>IF(OR(I3="-",I7=""),"-",
IF(VLOOKUP(I7,Ref_Tree_Wells!$D$3:$H$26,3,FALSE)="","Provide in PDP SWQMP",VLOOKUP(I7,Ref_Tree_Wells!$D$3:$H$26,3,FALSE)))</f>
        <v>-</v>
      </c>
      <c r="J13" s="114" t="str">
        <f>IF(OR(J3="-",J7=""),"-",
IF(VLOOKUP(J7,Ref_Tree_Wells!$D$3:$H$26,3,FALSE)="","Provide in PDP SWQMP",VLOOKUP(J7,Ref_Tree_Wells!$D$3:$H$26,3,FALSE)))</f>
        <v>-</v>
      </c>
      <c r="K13" s="114" t="str">
        <f>IF(OR(K3="-",K7=""),"-",
IF(VLOOKUP(K7,Ref_Tree_Wells!$D$3:$H$26,3,FALSE)="","Provide in PDP SWQMP",VLOOKUP(K7,Ref_Tree_Wells!$D$3:$H$26,3,FALSE)))</f>
        <v>-</v>
      </c>
      <c r="L13" s="114" t="str">
        <f>IF(OR(L3="-",L7=""),"-",
IF(VLOOKUP(L7,Ref_Tree_Wells!$D$3:$H$26,3,FALSE)="","Provide in PDP SWQMP",VLOOKUP(L7,Ref_Tree_Wells!$D$3:$H$26,3,FALSE)))</f>
        <v>-</v>
      </c>
      <c r="M13" s="114" t="str">
        <f>IF(OR(M3="-",M7=""),"-",
IF(VLOOKUP(M7,Ref_Tree_Wells!$D$3:$H$26,3,FALSE)="","Provide in PDP SWQMP",VLOOKUP(M7,Ref_Tree_Wells!$D$3:$H$26,3,FALSE)))</f>
        <v>-</v>
      </c>
      <c r="N13" s="114" t="str">
        <f>IF(OR(N3="-",N7=""),"-",
IF(VLOOKUP(N7,Ref_Tree_Wells!$D$3:$H$26,3,FALSE)="","Provide in PDP SWQMP",VLOOKUP(N7,Ref_Tree_Wells!$D$3:$H$26,3,FALSE)))</f>
        <v>-</v>
      </c>
      <c r="O13" s="67" t="s">
        <v>108</v>
      </c>
      <c r="Q13" s="86" t="s">
        <v>284</v>
      </c>
      <c r="S13" s="107"/>
      <c r="T13" s="79"/>
      <c r="U13" s="79"/>
      <c r="V13" s="79"/>
      <c r="W13" s="79"/>
      <c r="X13" s="79"/>
      <c r="Y13" s="79"/>
      <c r="Z13" s="79"/>
      <c r="AA13" s="79"/>
      <c r="AB13" s="108"/>
    </row>
    <row r="14" spans="2:29" ht="18" customHeight="1" x14ac:dyDescent="0.35">
      <c r="B14" s="190"/>
      <c r="C14" s="66">
        <v>12</v>
      </c>
      <c r="D14" s="103" t="s">
        <v>177</v>
      </c>
      <c r="E14" s="115" t="str">
        <f>IF(OR(E3="-",E7=""),"-",VLOOKUP(E7,Ref_Tree_Wells!$D$3:$H$26,4,FALSE))</f>
        <v>-</v>
      </c>
      <c r="F14" s="115" t="str">
        <f>IF(OR(F3="-",F7=""),"-",VLOOKUP(F7,Ref_Tree_Wells!$D$3:$H$26,4,FALSE))</f>
        <v>-</v>
      </c>
      <c r="G14" s="115" t="str">
        <f>IF(OR(G3="-",G7=""),"-",VLOOKUP(G7,Ref_Tree_Wells!$D$3:$H$26,4,FALSE))</f>
        <v>-</v>
      </c>
      <c r="H14" s="115" t="str">
        <f>IF(OR(H3="-",H7=""),"-",VLOOKUP(H7,Ref_Tree_Wells!$D$3:$H$26,4,FALSE))</f>
        <v>-</v>
      </c>
      <c r="I14" s="115" t="str">
        <f>IF(OR(I3="-",I7=""),"-",VLOOKUP(I7,Ref_Tree_Wells!$D$3:$H$26,4,FALSE))</f>
        <v>-</v>
      </c>
      <c r="J14" s="115" t="str">
        <f>IF(OR(J3="-",J7=""),"-",VLOOKUP(J7,Ref_Tree_Wells!$D$3:$H$26,4,FALSE))</f>
        <v>-</v>
      </c>
      <c r="K14" s="115" t="str">
        <f>IF(OR(K3="-",K7=""),"-",VLOOKUP(K7,Ref_Tree_Wells!$D$3:$H$26,4,FALSE))</f>
        <v>-</v>
      </c>
      <c r="L14" s="115" t="str">
        <f>IF(OR(L3="-",L7=""),"-",VLOOKUP(L7,Ref_Tree_Wells!$D$3:$H$26,4,FALSE))</f>
        <v>-</v>
      </c>
      <c r="M14" s="115" t="str">
        <f>IF(OR(M3="-",M7=""),"-",VLOOKUP(M7,Ref_Tree_Wells!$D$3:$H$26,4,FALSE))</f>
        <v>-</v>
      </c>
      <c r="N14" s="115" t="str">
        <f>IF(OR(N3="-",N7=""),"-",VLOOKUP(N7,Ref_Tree_Wells!$D$3:$H$26,4,FALSE))</f>
        <v>-</v>
      </c>
      <c r="O14" s="67" t="s">
        <v>108</v>
      </c>
      <c r="Q14" s="86" t="s">
        <v>285</v>
      </c>
      <c r="S14" s="5"/>
      <c r="T14" s="44"/>
      <c r="U14" s="44"/>
      <c r="V14" s="44"/>
      <c r="W14" s="44"/>
      <c r="X14" s="44"/>
      <c r="Y14" s="44"/>
      <c r="Z14" s="44"/>
      <c r="AA14" s="44"/>
      <c r="AB14" s="47"/>
    </row>
    <row r="15" spans="2:29" ht="36" customHeight="1" x14ac:dyDescent="0.35">
      <c r="B15" s="190"/>
      <c r="C15" s="66">
        <v>13</v>
      </c>
      <c r="D15" s="103" t="s">
        <v>117</v>
      </c>
      <c r="E15" s="8" t="str">
        <f>IF(E14="-","-",(2*PI()*((E14/2)^2)))</f>
        <v>-</v>
      </c>
      <c r="F15" s="8" t="str">
        <f t="shared" ref="F15:N15" si="5">IF(F14="-","-",(2*PI()*((F14/2)^2)))</f>
        <v>-</v>
      </c>
      <c r="G15" s="8" t="str">
        <f t="shared" si="5"/>
        <v>-</v>
      </c>
      <c r="H15" s="8" t="str">
        <f t="shared" si="5"/>
        <v>-</v>
      </c>
      <c r="I15" s="8" t="str">
        <f t="shared" si="5"/>
        <v>-</v>
      </c>
      <c r="J15" s="8" t="str">
        <f t="shared" si="5"/>
        <v>-</v>
      </c>
      <c r="K15" s="8" t="str">
        <f t="shared" si="5"/>
        <v>-</v>
      </c>
      <c r="L15" s="8" t="str">
        <f t="shared" si="5"/>
        <v>-</v>
      </c>
      <c r="M15" s="8" t="str">
        <f t="shared" si="5"/>
        <v>-</v>
      </c>
      <c r="N15" s="8" t="str">
        <f t="shared" si="5"/>
        <v>-</v>
      </c>
      <c r="O15" s="67" t="s">
        <v>2</v>
      </c>
      <c r="Q15" s="86" t="s">
        <v>182</v>
      </c>
      <c r="S15" s="5"/>
      <c r="T15" s="44"/>
      <c r="U15" s="44"/>
      <c r="V15" s="44"/>
      <c r="W15" s="44"/>
      <c r="X15" s="44"/>
      <c r="Y15" s="44"/>
      <c r="Z15" s="44"/>
      <c r="AA15" s="44"/>
      <c r="AB15" s="47"/>
    </row>
    <row r="16" spans="2:29" ht="18" customHeight="1" x14ac:dyDescent="0.35">
      <c r="B16" s="191"/>
      <c r="C16" s="66">
        <v>14</v>
      </c>
      <c r="D16" s="103" t="s">
        <v>110</v>
      </c>
      <c r="E16" s="8" t="str">
        <f>IF(OR(E3="-",E7=""),"-",VLOOKUP(E7,Ref_Tree_Wells!$D$3:$H$26,5,FALSE))</f>
        <v>-</v>
      </c>
      <c r="F16" s="8" t="str">
        <f>IF(OR(F3="-",F7=""),"-",VLOOKUP(F7,Ref_Tree_Wells!$D$3:$H$26,5,FALSE))</f>
        <v>-</v>
      </c>
      <c r="G16" s="8" t="str">
        <f>IF(OR(G3="-",G7=""),"-",VLOOKUP(G7,Ref_Tree_Wells!$D$3:$H$26,5,FALSE))</f>
        <v>-</v>
      </c>
      <c r="H16" s="8" t="str">
        <f>IF(OR(H3="-",H7=""),"-",VLOOKUP(H7,Ref_Tree_Wells!$D$3:$H$26,5,FALSE))</f>
        <v>-</v>
      </c>
      <c r="I16" s="8" t="str">
        <f>IF(OR(I3="-",I7=""),"-",VLOOKUP(I7,Ref_Tree_Wells!$D$3:$H$26,5,FALSE))</f>
        <v>-</v>
      </c>
      <c r="J16" s="8" t="str">
        <f>IF(OR(J3="-",J7=""),"-",VLOOKUP(J7,Ref_Tree_Wells!$D$3:$H$26,5,FALSE))</f>
        <v>-</v>
      </c>
      <c r="K16" s="8" t="str">
        <f>IF(OR(K3="-",K7=""),"-",VLOOKUP(K7,Ref_Tree_Wells!$D$3:$H$26,5,FALSE))</f>
        <v>-</v>
      </c>
      <c r="L16" s="8" t="str">
        <f>IF(OR(L3="-",L7=""),"-",VLOOKUP(L7,Ref_Tree_Wells!$D$3:$H$26,5,FALSE))</f>
        <v>-</v>
      </c>
      <c r="M16" s="8" t="str">
        <f>IF(OR(M3="-",M7=""),"-",VLOOKUP(M7,Ref_Tree_Wells!$D$3:$H$26,5,FALSE))</f>
        <v>-</v>
      </c>
      <c r="N16" s="8" t="str">
        <f>IF(OR(N3="-",N7=""),"-",VLOOKUP(N7,Ref_Tree_Wells!$D$3:$H$26,5,FALSE))</f>
        <v>-</v>
      </c>
      <c r="O16" s="67" t="s">
        <v>2</v>
      </c>
      <c r="Q16" s="86" t="s">
        <v>286</v>
      </c>
      <c r="S16" s="5"/>
      <c r="T16" s="44"/>
      <c r="U16" s="44"/>
      <c r="V16" s="44"/>
      <c r="W16" s="44"/>
      <c r="X16" s="44"/>
      <c r="Y16" s="44"/>
      <c r="Z16" s="44"/>
      <c r="AA16" s="44"/>
      <c r="AB16" s="47"/>
    </row>
    <row r="17" spans="2:29" ht="18" customHeight="1" x14ac:dyDescent="0.35">
      <c r="B17" s="189" t="s">
        <v>173</v>
      </c>
      <c r="C17" s="66">
        <v>15</v>
      </c>
      <c r="D17" s="103" t="s">
        <v>115</v>
      </c>
      <c r="E17" s="68" t="str">
        <f>IF(OR(E3="-",E4="-",E5="",E8=""),"-",
IF(E5="No","n/a",
IF(AND(E5="Yes",E6=""),"See Messages",INDEX(Ref_Tree_Wells!$K$4:$N$7,MATCH(E8,Ref_Tree_Wells!$J$4:$J$7),MATCH(E6,Ref_Tree_Wells!$K$3:$N$3)))))</f>
        <v>-</v>
      </c>
      <c r="F17" s="68" t="str">
        <f>IF(OR(F3="-",F4="-",F5="",F8=""),"-",
IF(F5="No","n/a",
IF(AND(F5="Yes",F6=""),"See Messages",INDEX(Ref_Tree_Wells!$K$4:$N$7,MATCH(F8,Ref_Tree_Wells!$J$4:$J$7),MATCH(F6,Ref_Tree_Wells!$K$3:$N$3)))))</f>
        <v>-</v>
      </c>
      <c r="G17" s="68" t="str">
        <f>IF(OR(G3="-",G4="-",G5="",G8=""),"-",
IF(G5="No","n/a",
IF(AND(G5="Yes",G6=""),"See Messages",INDEX(Ref_Tree_Wells!$K$4:$N$7,MATCH(G8,Ref_Tree_Wells!$J$4:$J$7),MATCH(G6,Ref_Tree_Wells!$K$3:$N$3)))))</f>
        <v>-</v>
      </c>
      <c r="H17" s="68" t="str">
        <f>IF(OR(H3="-",H4="-",H5="",H8=""),"-",
IF(H5="No","n/a",
IF(AND(H5="Yes",H6=""),"See Messages",INDEX(Ref_Tree_Wells!$K$4:$N$7,MATCH(H8,Ref_Tree_Wells!$J$4:$J$7),MATCH(H6,Ref_Tree_Wells!$K$3:$N$3)))))</f>
        <v>-</v>
      </c>
      <c r="I17" s="68" t="str">
        <f>IF(OR(I3="-",I4="-",I5="",I8=""),"-",
IF(I5="No","n/a",
IF(AND(I5="Yes",I6=""),"See Messages",INDEX(Ref_Tree_Wells!$K$4:$N$7,MATCH(I8,Ref_Tree_Wells!$J$4:$J$7),MATCH(I6,Ref_Tree_Wells!$K$3:$N$3)))))</f>
        <v>-</v>
      </c>
      <c r="J17" s="68" t="str">
        <f>IF(OR(J3="-",J4="-",J5="",J8=""),"-",
IF(J5="No","n/a",
IF(AND(J5="Yes",J6=""),"See Messages",INDEX(Ref_Tree_Wells!$K$4:$N$7,MATCH(J8,Ref_Tree_Wells!$J$4:$J$7),MATCH(J6,Ref_Tree_Wells!$K$3:$N$3)))))</f>
        <v>-</v>
      </c>
      <c r="K17" s="68" t="str">
        <f>IF(OR(K3="-",K4="-",K5="",K8=""),"-",
IF(K5="No","n/a",
IF(AND(K5="Yes",K6=""),"See Messages",INDEX(Ref_Tree_Wells!$K$4:$N$7,MATCH(K8,Ref_Tree_Wells!$J$4:$J$7),MATCH(K6,Ref_Tree_Wells!$K$3:$N$3)))))</f>
        <v>-</v>
      </c>
      <c r="L17" s="68" t="str">
        <f>IF(OR(L3="-",L4="-",L5="",L8=""),"-",
IF(L5="No","n/a",
IF(AND(L5="Yes",L6=""),"See Messages",INDEX(Ref_Tree_Wells!$K$4:$N$7,MATCH(L8,Ref_Tree_Wells!$J$4:$J$7),MATCH(L6,Ref_Tree_Wells!$K$3:$N$3)))))</f>
        <v>-</v>
      </c>
      <c r="M17" s="68" t="str">
        <f>IF(OR(M3="-",M4="-",M5="",M8=""),"-",
IF(M5="No","n/a",
IF(AND(M5="Yes",M6=""),"See Messages",INDEX(Ref_Tree_Wells!$K$4:$N$7,MATCH(M8,Ref_Tree_Wells!$J$4:$J$7),MATCH(M6,Ref_Tree_Wells!$K$3:$N$3)))))</f>
        <v>-</v>
      </c>
      <c r="N17" s="68" t="str">
        <f>IF(OR(N3="-",N4="-",N5="",N8=""),"-",
IF(N5="No","n/a",
IF(AND(N5="Yes",N6=""),"See Messages",INDEX(Ref_Tree_Wells!$K$4:$N$7,MATCH(N8,Ref_Tree_Wells!$J$4:$J$7),MATCH(N6,Ref_Tree_Wells!$K$3:$N$3)))))</f>
        <v>-</v>
      </c>
      <c r="O17" s="67" t="s">
        <v>12</v>
      </c>
      <c r="Q17" s="86" t="s">
        <v>183</v>
      </c>
      <c r="S17" s="5" t="str">
        <f>IF(E17="See Messages","Warning","Ok")</f>
        <v>Ok</v>
      </c>
      <c r="T17" s="44" t="str">
        <f t="shared" ref="T17:AB17" si="6">IF(F17="See Messages","Warning","Ok")</f>
        <v>Ok</v>
      </c>
      <c r="U17" s="44" t="str">
        <f t="shared" si="6"/>
        <v>Ok</v>
      </c>
      <c r="V17" s="44" t="str">
        <f t="shared" si="6"/>
        <v>Ok</v>
      </c>
      <c r="W17" s="44" t="str">
        <f t="shared" si="6"/>
        <v>Ok</v>
      </c>
      <c r="X17" s="44" t="str">
        <f t="shared" si="6"/>
        <v>Ok</v>
      </c>
      <c r="Y17" s="44" t="str">
        <f t="shared" si="6"/>
        <v>Ok</v>
      </c>
      <c r="Z17" s="44" t="str">
        <f t="shared" si="6"/>
        <v>Ok</v>
      </c>
      <c r="AA17" s="44" t="str">
        <f t="shared" si="6"/>
        <v>Ok</v>
      </c>
      <c r="AB17" s="47" t="str">
        <f t="shared" si="6"/>
        <v>Ok</v>
      </c>
      <c r="AC17" s="65" t="s">
        <v>194</v>
      </c>
    </row>
    <row r="18" spans="2:29" ht="18" customHeight="1" x14ac:dyDescent="0.35">
      <c r="B18" s="190"/>
      <c r="C18" s="66">
        <v>16</v>
      </c>
      <c r="D18" s="103" t="s">
        <v>111</v>
      </c>
      <c r="E18" s="8" t="str">
        <f>IF(OR(E17="-",E17="n/a",E17="See Messages"),E17,E17*E4)</f>
        <v>-</v>
      </c>
      <c r="F18" s="8" t="str">
        <f t="shared" ref="F18:N18" si="7">IF(OR(F17="-",F17="n/a",F17="See Messages"),F17,F17*F4)</f>
        <v>-</v>
      </c>
      <c r="G18" s="8" t="str">
        <f t="shared" si="7"/>
        <v>-</v>
      </c>
      <c r="H18" s="8" t="str">
        <f t="shared" si="7"/>
        <v>-</v>
      </c>
      <c r="I18" s="8" t="str">
        <f t="shared" si="7"/>
        <v>-</v>
      </c>
      <c r="J18" s="8" t="str">
        <f t="shared" si="7"/>
        <v>-</v>
      </c>
      <c r="K18" s="8" t="str">
        <f t="shared" si="7"/>
        <v>-</v>
      </c>
      <c r="L18" s="8" t="str">
        <f t="shared" si="7"/>
        <v>-</v>
      </c>
      <c r="M18" s="8" t="str">
        <f t="shared" si="7"/>
        <v>-</v>
      </c>
      <c r="N18" s="8" t="str">
        <f t="shared" si="7"/>
        <v>-</v>
      </c>
      <c r="O18" s="67" t="s">
        <v>2</v>
      </c>
      <c r="Q18" s="87" t="s">
        <v>184</v>
      </c>
      <c r="S18" s="5"/>
      <c r="T18" s="44"/>
      <c r="U18" s="44"/>
      <c r="V18" s="44"/>
      <c r="W18" s="44"/>
      <c r="X18" s="44"/>
      <c r="Y18" s="44"/>
      <c r="Z18" s="44"/>
      <c r="AA18" s="44"/>
      <c r="AB18" s="47"/>
    </row>
    <row r="19" spans="2:29" ht="18" customHeight="1" x14ac:dyDescent="0.35">
      <c r="B19" s="190"/>
      <c r="C19" s="66">
        <v>17</v>
      </c>
      <c r="D19" s="103" t="s">
        <v>120</v>
      </c>
      <c r="E19" s="8" t="str">
        <f>IF((OR(E14="-",E17="-",E17="See Messages")),"-",
(IF(E18="n/a",ROUNDUP(E4/E16,0),ROUNDUP(E18/E16,0))))</f>
        <v>-</v>
      </c>
      <c r="F19" s="8" t="str">
        <f t="shared" ref="F19:N19" si="8">IF((OR(F14="-",F17="-",F17="See Messages")),"-",
(IF(F18="n/a",ROUNDUP(F4/F16,0),ROUNDUP(F18/F16,0))))</f>
        <v>-</v>
      </c>
      <c r="G19" s="8" t="str">
        <f t="shared" si="8"/>
        <v>-</v>
      </c>
      <c r="H19" s="8" t="str">
        <f t="shared" si="8"/>
        <v>-</v>
      </c>
      <c r="I19" s="8" t="str">
        <f t="shared" si="8"/>
        <v>-</v>
      </c>
      <c r="J19" s="8" t="str">
        <f t="shared" si="8"/>
        <v>-</v>
      </c>
      <c r="K19" s="8" t="str">
        <f t="shared" si="8"/>
        <v>-</v>
      </c>
      <c r="L19" s="8" t="str">
        <f t="shared" si="8"/>
        <v>-</v>
      </c>
      <c r="M19" s="8" t="str">
        <f t="shared" si="8"/>
        <v>-</v>
      </c>
      <c r="N19" s="8" t="str">
        <f t="shared" si="8"/>
        <v>-</v>
      </c>
      <c r="O19" s="67" t="s">
        <v>118</v>
      </c>
      <c r="Q19" s="87" t="s">
        <v>185</v>
      </c>
      <c r="S19" s="5"/>
      <c r="T19" s="44"/>
      <c r="U19" s="44"/>
      <c r="V19" s="44"/>
      <c r="W19" s="44"/>
      <c r="X19" s="44"/>
      <c r="Y19" s="44"/>
      <c r="Z19" s="44"/>
      <c r="AA19" s="44"/>
      <c r="AB19" s="47"/>
    </row>
    <row r="20" spans="2:29" ht="18" customHeight="1" x14ac:dyDescent="0.35">
      <c r="B20" s="190"/>
      <c r="C20" s="66">
        <v>18</v>
      </c>
      <c r="D20" s="103" t="s">
        <v>168</v>
      </c>
      <c r="E20" s="8" t="str">
        <f>IF(OR(E15="-",E8=""),"-",ROUND(E15/(E8/12),0))</f>
        <v>-</v>
      </c>
      <c r="F20" s="8" t="str">
        <f t="shared" ref="F20:N20" si="9">IF(OR(F15="-",F8=""),"-",ROUND(F15/(F8/12),0))</f>
        <v>-</v>
      </c>
      <c r="G20" s="8" t="str">
        <f t="shared" si="9"/>
        <v>-</v>
      </c>
      <c r="H20" s="8" t="str">
        <f t="shared" si="9"/>
        <v>-</v>
      </c>
      <c r="I20" s="8" t="str">
        <f t="shared" si="9"/>
        <v>-</v>
      </c>
      <c r="J20" s="8" t="str">
        <f t="shared" si="9"/>
        <v>-</v>
      </c>
      <c r="K20" s="8" t="str">
        <f t="shared" si="9"/>
        <v>-</v>
      </c>
      <c r="L20" s="8" t="str">
        <f t="shared" si="9"/>
        <v>-</v>
      </c>
      <c r="M20" s="8" t="str">
        <f t="shared" si="9"/>
        <v>-</v>
      </c>
      <c r="N20" s="8" t="str">
        <f t="shared" si="9"/>
        <v>-</v>
      </c>
      <c r="O20" s="67" t="s">
        <v>4</v>
      </c>
      <c r="Q20" s="87" t="s">
        <v>186</v>
      </c>
      <c r="S20" s="5"/>
      <c r="T20" s="44"/>
      <c r="U20" s="44"/>
      <c r="V20" s="44"/>
      <c r="W20" s="44"/>
      <c r="X20" s="44"/>
      <c r="Y20" s="44"/>
      <c r="Z20" s="44"/>
      <c r="AA20" s="44"/>
      <c r="AB20" s="47"/>
    </row>
    <row r="21" spans="2:29" ht="18" customHeight="1" x14ac:dyDescent="0.35">
      <c r="B21" s="190"/>
      <c r="C21" s="66">
        <v>19</v>
      </c>
      <c r="D21" s="103" t="s">
        <v>169</v>
      </c>
      <c r="E21" s="8" t="str">
        <f>IF(E19="-","-",ROUNDUP(SQRT(E15/(E8/12)),0))</f>
        <v>-</v>
      </c>
      <c r="F21" s="8" t="str">
        <f t="shared" ref="F21:N21" si="10">IF(F19="-","-",ROUNDUP(SQRT(F15/(F8/12)),0))</f>
        <v>-</v>
      </c>
      <c r="G21" s="8" t="str">
        <f t="shared" si="10"/>
        <v>-</v>
      </c>
      <c r="H21" s="8" t="str">
        <f t="shared" si="10"/>
        <v>-</v>
      </c>
      <c r="I21" s="8" t="str">
        <f t="shared" si="10"/>
        <v>-</v>
      </c>
      <c r="J21" s="8" t="str">
        <f t="shared" si="10"/>
        <v>-</v>
      </c>
      <c r="K21" s="8" t="str">
        <f t="shared" si="10"/>
        <v>-</v>
      </c>
      <c r="L21" s="8" t="str">
        <f t="shared" si="10"/>
        <v>-</v>
      </c>
      <c r="M21" s="8" t="str">
        <f t="shared" si="10"/>
        <v>-</v>
      </c>
      <c r="N21" s="8" t="str">
        <f t="shared" si="10"/>
        <v>-</v>
      </c>
      <c r="O21" s="67" t="s">
        <v>108</v>
      </c>
      <c r="Q21" s="87" t="s">
        <v>187</v>
      </c>
      <c r="S21" s="5" t="str">
        <f>IF(OR(E14="-",E21="-"),"Ok",
IF(E21&gt;3*(E14/2),"Warning","Ok"))</f>
        <v>Ok</v>
      </c>
      <c r="T21" s="44" t="str">
        <f t="shared" ref="T21:AB21" si="11">IF(OR(F14="-",F21="-"),"Ok",
IF(F21&gt;3*(F14/2),"Warning","Ok"))</f>
        <v>Ok</v>
      </c>
      <c r="U21" s="44" t="str">
        <f t="shared" si="11"/>
        <v>Ok</v>
      </c>
      <c r="V21" s="44" t="str">
        <f t="shared" si="11"/>
        <v>Ok</v>
      </c>
      <c r="W21" s="44" t="str">
        <f t="shared" si="11"/>
        <v>Ok</v>
      </c>
      <c r="X21" s="44" t="str">
        <f t="shared" si="11"/>
        <v>Ok</v>
      </c>
      <c r="Y21" s="44" t="str">
        <f t="shared" si="11"/>
        <v>Ok</v>
      </c>
      <c r="Z21" s="44" t="str">
        <f t="shared" si="11"/>
        <v>Ok</v>
      </c>
      <c r="AA21" s="44" t="str">
        <f t="shared" si="11"/>
        <v>Ok</v>
      </c>
      <c r="AB21" s="47" t="str">
        <f t="shared" si="11"/>
        <v>Ok</v>
      </c>
      <c r="AC21" s="65" t="s">
        <v>197</v>
      </c>
    </row>
    <row r="22" spans="2:29" ht="18" customHeight="1" x14ac:dyDescent="0.35">
      <c r="B22" s="190"/>
      <c r="C22" s="66">
        <v>20</v>
      </c>
      <c r="D22" s="103" t="s">
        <v>170</v>
      </c>
      <c r="E22" s="8" t="str">
        <f>IF(E19="-","-",ROUNDUP(SQRT(E15/(E8/12)),0))</f>
        <v>-</v>
      </c>
      <c r="F22" s="8" t="str">
        <f t="shared" ref="F22:N22" si="12">IF(F19="-","-",ROUNDUP(SQRT(F15/(F8/12)),0))</f>
        <v>-</v>
      </c>
      <c r="G22" s="8" t="str">
        <f t="shared" si="12"/>
        <v>-</v>
      </c>
      <c r="H22" s="8" t="str">
        <f t="shared" si="12"/>
        <v>-</v>
      </c>
      <c r="I22" s="8" t="str">
        <f t="shared" si="12"/>
        <v>-</v>
      </c>
      <c r="J22" s="8" t="str">
        <f t="shared" si="12"/>
        <v>-</v>
      </c>
      <c r="K22" s="8" t="str">
        <f t="shared" si="12"/>
        <v>-</v>
      </c>
      <c r="L22" s="8" t="str">
        <f t="shared" si="12"/>
        <v>-</v>
      </c>
      <c r="M22" s="8" t="str">
        <f t="shared" si="12"/>
        <v>-</v>
      </c>
      <c r="N22" s="8" t="str">
        <f t="shared" si="12"/>
        <v>-</v>
      </c>
      <c r="O22" s="67" t="s">
        <v>108</v>
      </c>
      <c r="Q22" s="87" t="s">
        <v>188</v>
      </c>
      <c r="S22" s="5" t="str">
        <f>IF(OR(E14="-",E22="-"),"Ok",
IF(E22&gt;3*(E14/2),"Warning","Ok"))</f>
        <v>Ok</v>
      </c>
      <c r="T22" s="44" t="str">
        <f t="shared" ref="T22:AB22" si="13">IF(OR(F14="-",F22="-"),"Ok",
IF(F22&gt;3*(F14/2),"Warning","Ok"))</f>
        <v>Ok</v>
      </c>
      <c r="U22" s="44" t="str">
        <f t="shared" si="13"/>
        <v>Ok</v>
      </c>
      <c r="V22" s="44" t="str">
        <f t="shared" si="13"/>
        <v>Ok</v>
      </c>
      <c r="W22" s="44" t="str">
        <f t="shared" si="13"/>
        <v>Ok</v>
      </c>
      <c r="X22" s="44" t="str">
        <f t="shared" si="13"/>
        <v>Ok</v>
      </c>
      <c r="Y22" s="44" t="str">
        <f t="shared" si="13"/>
        <v>Ok</v>
      </c>
      <c r="Z22" s="44" t="str">
        <f t="shared" si="13"/>
        <v>Ok</v>
      </c>
      <c r="AA22" s="44" t="str">
        <f t="shared" si="13"/>
        <v>Ok</v>
      </c>
      <c r="AB22" s="47" t="str">
        <f t="shared" si="13"/>
        <v>Ok</v>
      </c>
      <c r="AC22" s="65" t="s">
        <v>197</v>
      </c>
    </row>
    <row r="23" spans="2:29" ht="18" customHeight="1" x14ac:dyDescent="0.35">
      <c r="B23" s="190"/>
      <c r="C23" s="66">
        <v>21</v>
      </c>
      <c r="D23" s="103" t="s">
        <v>163</v>
      </c>
      <c r="E23" s="8" t="str">
        <f>IF(OR(E3="-",E9="",E14="-"),"-",E9)</f>
        <v>-</v>
      </c>
      <c r="F23" s="8" t="str">
        <f t="shared" ref="F23:N23" si="14">IF(OR(F3="-",F9="",F14="-"),"-",F9)</f>
        <v>-</v>
      </c>
      <c r="G23" s="8" t="str">
        <f t="shared" si="14"/>
        <v>-</v>
      </c>
      <c r="H23" s="8" t="str">
        <f t="shared" si="14"/>
        <v>-</v>
      </c>
      <c r="I23" s="8" t="str">
        <f t="shared" si="14"/>
        <v>-</v>
      </c>
      <c r="J23" s="8" t="str">
        <f t="shared" si="14"/>
        <v>-</v>
      </c>
      <c r="K23" s="8" t="str">
        <f t="shared" si="14"/>
        <v>-</v>
      </c>
      <c r="L23" s="8" t="str">
        <f t="shared" si="14"/>
        <v>-</v>
      </c>
      <c r="M23" s="8" t="str">
        <f t="shared" si="14"/>
        <v>-</v>
      </c>
      <c r="N23" s="8" t="str">
        <f t="shared" si="14"/>
        <v>-</v>
      </c>
      <c r="O23" s="67" t="s">
        <v>118</v>
      </c>
      <c r="Q23" s="87" t="s">
        <v>189</v>
      </c>
      <c r="S23" s="5" t="str">
        <f>IF(OR(E3="-",E9="",E19="-"),"Ok",
IF(E23&lt;E19,"Warning","Ok"))</f>
        <v>Ok</v>
      </c>
      <c r="T23" s="44" t="str">
        <f t="shared" ref="T23:AB23" si="15">IF(OR(F3="-",F9="",F19="-"),"Ok",
IF(F23&lt;F19,"Warning","Ok"))</f>
        <v>Ok</v>
      </c>
      <c r="U23" s="44" t="str">
        <f t="shared" si="15"/>
        <v>Ok</v>
      </c>
      <c r="V23" s="44" t="str">
        <f t="shared" si="15"/>
        <v>Ok</v>
      </c>
      <c r="W23" s="44" t="str">
        <f t="shared" si="15"/>
        <v>Ok</v>
      </c>
      <c r="X23" s="44" t="str">
        <f t="shared" si="15"/>
        <v>Ok</v>
      </c>
      <c r="Y23" s="44" t="str">
        <f t="shared" si="15"/>
        <v>Ok</v>
      </c>
      <c r="Z23" s="44" t="str">
        <f t="shared" si="15"/>
        <v>Ok</v>
      </c>
      <c r="AA23" s="44" t="str">
        <f t="shared" si="15"/>
        <v>Ok</v>
      </c>
      <c r="AB23" s="47" t="str">
        <f t="shared" si="15"/>
        <v>Ok</v>
      </c>
      <c r="AC23" s="65" t="s">
        <v>198</v>
      </c>
    </row>
    <row r="24" spans="2:29" ht="18" customHeight="1" x14ac:dyDescent="0.35">
      <c r="B24" s="190"/>
      <c r="C24" s="66">
        <v>22</v>
      </c>
      <c r="D24" s="103" t="s">
        <v>171</v>
      </c>
      <c r="E24" s="8" t="str">
        <f>IF(OR(E3="-",E10="",E11="",E14="-"),"-",E10*E11)</f>
        <v>-</v>
      </c>
      <c r="F24" s="8" t="str">
        <f t="shared" ref="F24:N24" si="16">IF(OR(F3="-",F10="",F11="",F14="-"),"-",F10*F11)</f>
        <v>-</v>
      </c>
      <c r="G24" s="8" t="str">
        <f t="shared" si="16"/>
        <v>-</v>
      </c>
      <c r="H24" s="8" t="str">
        <f t="shared" si="16"/>
        <v>-</v>
      </c>
      <c r="I24" s="8" t="str">
        <f t="shared" si="16"/>
        <v>-</v>
      </c>
      <c r="J24" s="8" t="str">
        <f t="shared" si="16"/>
        <v>-</v>
      </c>
      <c r="K24" s="8" t="str">
        <f t="shared" si="16"/>
        <v>-</v>
      </c>
      <c r="L24" s="8" t="str">
        <f t="shared" si="16"/>
        <v>-</v>
      </c>
      <c r="M24" s="8" t="str">
        <f t="shared" si="16"/>
        <v>-</v>
      </c>
      <c r="N24" s="8" t="str">
        <f t="shared" si="16"/>
        <v>-</v>
      </c>
      <c r="O24" s="67" t="s">
        <v>4</v>
      </c>
      <c r="Q24" s="87" t="s">
        <v>190</v>
      </c>
      <c r="S24" s="5" t="str">
        <f>IF(OR(E3="-",E10="",E11=""),"Ok",
IF(E24&lt;E20,"Warning","Ok"))</f>
        <v>Ok</v>
      </c>
      <c r="T24" s="44" t="str">
        <f t="shared" ref="T24:AB24" si="17">IF(OR(F3="-",F9="",F10="",F11=""),"Ok",
IF(F24&lt;F20,"Warning","Ok"))</f>
        <v>Ok</v>
      </c>
      <c r="U24" s="44" t="str">
        <f t="shared" si="17"/>
        <v>Ok</v>
      </c>
      <c r="V24" s="44" t="str">
        <f t="shared" si="17"/>
        <v>Ok</v>
      </c>
      <c r="W24" s="44" t="str">
        <f t="shared" si="17"/>
        <v>Ok</v>
      </c>
      <c r="X24" s="44" t="str">
        <f t="shared" si="17"/>
        <v>Ok</v>
      </c>
      <c r="Y24" s="44" t="str">
        <f t="shared" si="17"/>
        <v>Ok</v>
      </c>
      <c r="Z24" s="44" t="str">
        <f t="shared" si="17"/>
        <v>Ok</v>
      </c>
      <c r="AA24" s="44" t="str">
        <f t="shared" si="17"/>
        <v>Ok</v>
      </c>
      <c r="AB24" s="47" t="str">
        <f t="shared" si="17"/>
        <v>Ok</v>
      </c>
      <c r="AC24" s="65" t="s">
        <v>199</v>
      </c>
    </row>
    <row r="25" spans="2:29" ht="36" customHeight="1" x14ac:dyDescent="0.35">
      <c r="B25" s="191"/>
      <c r="C25" s="66">
        <v>23</v>
      </c>
      <c r="D25" s="103" t="s">
        <v>178</v>
      </c>
      <c r="E25" s="91" t="str">
        <f>IF(OR(E3="-",E7=""),"-",
IF(E19=1,"n/a",MAX(E10,E11,E14)))</f>
        <v>-</v>
      </c>
      <c r="F25" s="91" t="str">
        <f t="shared" ref="F25:N25" si="18">IF(OR(F3="-",F7=""),"-",
IF(F19=1,"n/a",MAX(F10,F11,F14)))</f>
        <v>-</v>
      </c>
      <c r="G25" s="91" t="str">
        <f t="shared" si="18"/>
        <v>-</v>
      </c>
      <c r="H25" s="91" t="str">
        <f t="shared" si="18"/>
        <v>-</v>
      </c>
      <c r="I25" s="91" t="str">
        <f t="shared" si="18"/>
        <v>-</v>
      </c>
      <c r="J25" s="91" t="str">
        <f t="shared" si="18"/>
        <v>-</v>
      </c>
      <c r="K25" s="91" t="str">
        <f t="shared" si="18"/>
        <v>-</v>
      </c>
      <c r="L25" s="91" t="str">
        <f t="shared" si="18"/>
        <v>-</v>
      </c>
      <c r="M25" s="91" t="str">
        <f t="shared" si="18"/>
        <v>-</v>
      </c>
      <c r="N25" s="91" t="str">
        <f t="shared" si="18"/>
        <v>-</v>
      </c>
      <c r="O25" s="67" t="s">
        <v>108</v>
      </c>
      <c r="Q25" s="87" t="s">
        <v>287</v>
      </c>
      <c r="S25" s="5"/>
      <c r="T25" s="44"/>
      <c r="U25" s="44"/>
      <c r="V25" s="44"/>
      <c r="W25" s="44"/>
      <c r="X25" s="44"/>
      <c r="Y25" s="44"/>
      <c r="Z25" s="44"/>
      <c r="AA25" s="44"/>
      <c r="AB25" s="47"/>
    </row>
    <row r="26" spans="2:29" ht="18" customHeight="1" x14ac:dyDescent="0.35">
      <c r="B26" s="189" t="s">
        <v>76</v>
      </c>
      <c r="C26" s="66">
        <v>24</v>
      </c>
      <c r="D26" s="103" t="s">
        <v>172</v>
      </c>
      <c r="E26" s="8" t="str">
        <f>IF(E3="-","-",
IF(OR(E7="",E8="",E9="",E10="",E11=""),"Incomplete",
IF(OR(S10="Warning",S11="Warning",S24="Warning"),"No","Yes")))</f>
        <v>-</v>
      </c>
      <c r="F26" s="8" t="str">
        <f t="shared" ref="F26:N26" si="19">IF(F3="-","-",
IF(OR(F7="",F8="",F9="",F10="",F11=""),"Incomplete",
IF(OR(T10="Warning",T11="Warning",T24="Warning"),"No","Yes")))</f>
        <v>-</v>
      </c>
      <c r="G26" s="8" t="str">
        <f t="shared" si="19"/>
        <v>-</v>
      </c>
      <c r="H26" s="8" t="str">
        <f t="shared" si="19"/>
        <v>-</v>
      </c>
      <c r="I26" s="8" t="str">
        <f t="shared" si="19"/>
        <v>-</v>
      </c>
      <c r="J26" s="8" t="str">
        <f t="shared" si="19"/>
        <v>-</v>
      </c>
      <c r="K26" s="8" t="str">
        <f t="shared" si="19"/>
        <v>-</v>
      </c>
      <c r="L26" s="8" t="str">
        <f t="shared" si="19"/>
        <v>-</v>
      </c>
      <c r="M26" s="8" t="str">
        <f t="shared" si="19"/>
        <v>-</v>
      </c>
      <c r="N26" s="8" t="str">
        <f t="shared" si="19"/>
        <v>-</v>
      </c>
      <c r="O26" s="67" t="s">
        <v>15</v>
      </c>
      <c r="Q26" s="87" t="s">
        <v>192</v>
      </c>
      <c r="S26" s="5" t="str">
        <f>IF(OR(E26="No",E26="Incomplete"),"Warning","Ok")</f>
        <v>Ok</v>
      </c>
      <c r="T26" s="44" t="str">
        <f t="shared" ref="T26:AB28" si="20">IF(OR(F26="No",F26="Incomplete"),"Warning","Ok")</f>
        <v>Ok</v>
      </c>
      <c r="U26" s="44" t="str">
        <f t="shared" si="20"/>
        <v>Ok</v>
      </c>
      <c r="V26" s="44" t="str">
        <f t="shared" si="20"/>
        <v>Ok</v>
      </c>
      <c r="W26" s="44" t="str">
        <f t="shared" si="20"/>
        <v>Ok</v>
      </c>
      <c r="X26" s="44" t="str">
        <f t="shared" si="20"/>
        <v>Ok</v>
      </c>
      <c r="Y26" s="44" t="str">
        <f t="shared" si="20"/>
        <v>Ok</v>
      </c>
      <c r="Z26" s="44" t="str">
        <f t="shared" si="20"/>
        <v>Ok</v>
      </c>
      <c r="AA26" s="44" t="str">
        <f t="shared" si="20"/>
        <v>Ok</v>
      </c>
      <c r="AB26" s="47" t="str">
        <f t="shared" si="20"/>
        <v>Ok</v>
      </c>
      <c r="AC26" s="65" t="s">
        <v>200</v>
      </c>
    </row>
    <row r="27" spans="2:29" ht="18" customHeight="1" x14ac:dyDescent="0.35">
      <c r="B27" s="190"/>
      <c r="C27" s="66">
        <v>25</v>
      </c>
      <c r="D27" s="103" t="s">
        <v>164</v>
      </c>
      <c r="E27" s="8" t="str">
        <f>IF(E3="-","-",
IF(OR(E7="",E8="",E9="",E10="",E11=""),"Incomplete",
IF(AND(E23&gt;=E19,E24&gt;=E20),"Yes","No")))</f>
        <v>-</v>
      </c>
      <c r="F27" s="8" t="str">
        <f t="shared" ref="F27:N27" si="21">IF(F3="-","-",
IF(OR(F7="",F8="",F9="",F10="",F11=""),"Incomplete",
IF(AND(F23&gt;=F19,F24&gt;=F20),"Yes","No")))</f>
        <v>-</v>
      </c>
      <c r="G27" s="8" t="str">
        <f t="shared" si="21"/>
        <v>-</v>
      </c>
      <c r="H27" s="8" t="str">
        <f t="shared" si="21"/>
        <v>-</v>
      </c>
      <c r="I27" s="8" t="str">
        <f t="shared" si="21"/>
        <v>-</v>
      </c>
      <c r="J27" s="8" t="str">
        <f t="shared" si="21"/>
        <v>-</v>
      </c>
      <c r="K27" s="8" t="str">
        <f t="shared" si="21"/>
        <v>-</v>
      </c>
      <c r="L27" s="8" t="str">
        <f t="shared" si="21"/>
        <v>-</v>
      </c>
      <c r="M27" s="8" t="str">
        <f t="shared" si="21"/>
        <v>-</v>
      </c>
      <c r="N27" s="8" t="str">
        <f t="shared" si="21"/>
        <v>-</v>
      </c>
      <c r="O27" s="67" t="s">
        <v>15</v>
      </c>
      <c r="Q27" s="87" t="s">
        <v>191</v>
      </c>
      <c r="S27" s="5" t="str">
        <f>IF(OR(E27="No",E27="Incomplete"),"Warning","Ok")</f>
        <v>Ok</v>
      </c>
      <c r="T27" s="44" t="str">
        <f t="shared" si="20"/>
        <v>Ok</v>
      </c>
      <c r="U27" s="44" t="str">
        <f t="shared" si="20"/>
        <v>Ok</v>
      </c>
      <c r="V27" s="44" t="str">
        <f t="shared" si="20"/>
        <v>Ok</v>
      </c>
      <c r="W27" s="44" t="str">
        <f t="shared" si="20"/>
        <v>Ok</v>
      </c>
      <c r="X27" s="44" t="str">
        <f t="shared" si="20"/>
        <v>Ok</v>
      </c>
      <c r="Y27" s="44" t="str">
        <f t="shared" si="20"/>
        <v>Ok</v>
      </c>
      <c r="Z27" s="44" t="str">
        <f t="shared" si="20"/>
        <v>Ok</v>
      </c>
      <c r="AA27" s="44" t="str">
        <f t="shared" si="20"/>
        <v>Ok</v>
      </c>
      <c r="AB27" s="47" t="str">
        <f t="shared" si="20"/>
        <v>Ok</v>
      </c>
      <c r="AC27" s="65" t="s">
        <v>201</v>
      </c>
    </row>
    <row r="28" spans="2:29" ht="18" customHeight="1" x14ac:dyDescent="0.35">
      <c r="B28" s="191"/>
      <c r="C28" s="66">
        <v>26</v>
      </c>
      <c r="D28" s="103" t="s">
        <v>165</v>
      </c>
      <c r="E28" s="8" t="str">
        <f>IF(E3="-","-",
IF(E5="No","n/a",
IF(OR(E7="",E8="",E9="",E10="",E11=""),"Incomplete",
IF(AND(E23&gt;=E19,E24&gt;=E20),"Yes","No"))))</f>
        <v>-</v>
      </c>
      <c r="F28" s="8" t="str">
        <f t="shared" ref="F28:N28" si="22">IF(F3="-","-",
IF(F5="No","n/a",
IF(OR(F7="",F8="",F9="",F10="",F11=""),"Incomplete",
IF(AND(F23&gt;=F19,F24&gt;=F20),"Yes","No"))))</f>
        <v>-</v>
      </c>
      <c r="G28" s="8" t="str">
        <f t="shared" si="22"/>
        <v>-</v>
      </c>
      <c r="H28" s="8" t="str">
        <f t="shared" si="22"/>
        <v>-</v>
      </c>
      <c r="I28" s="8" t="str">
        <f t="shared" si="22"/>
        <v>-</v>
      </c>
      <c r="J28" s="8" t="str">
        <f t="shared" si="22"/>
        <v>-</v>
      </c>
      <c r="K28" s="8" t="str">
        <f t="shared" si="22"/>
        <v>-</v>
      </c>
      <c r="L28" s="8" t="str">
        <f t="shared" si="22"/>
        <v>-</v>
      </c>
      <c r="M28" s="8" t="str">
        <f t="shared" si="22"/>
        <v>-</v>
      </c>
      <c r="N28" s="8" t="str">
        <f t="shared" si="22"/>
        <v>-</v>
      </c>
      <c r="O28" s="67" t="s">
        <v>15</v>
      </c>
      <c r="Q28" s="99" t="s">
        <v>193</v>
      </c>
      <c r="S28" s="5" t="str">
        <f>IF(OR(E28="No",E28="Incomplete"),"Warning","Ok")</f>
        <v>Ok</v>
      </c>
      <c r="T28" s="44" t="str">
        <f t="shared" si="20"/>
        <v>Ok</v>
      </c>
      <c r="U28" s="44" t="str">
        <f t="shared" si="20"/>
        <v>Ok</v>
      </c>
      <c r="V28" s="44" t="str">
        <f t="shared" si="20"/>
        <v>Ok</v>
      </c>
      <c r="W28" s="44" t="str">
        <f t="shared" si="20"/>
        <v>Ok</v>
      </c>
      <c r="X28" s="44" t="str">
        <f t="shared" si="20"/>
        <v>Ok</v>
      </c>
      <c r="Y28" s="44" t="str">
        <f t="shared" si="20"/>
        <v>Ok</v>
      </c>
      <c r="Z28" s="44" t="str">
        <f t="shared" si="20"/>
        <v>Ok</v>
      </c>
      <c r="AA28" s="44" t="str">
        <f t="shared" si="20"/>
        <v>Ok</v>
      </c>
      <c r="AB28" s="47" t="str">
        <f t="shared" si="20"/>
        <v>Ok</v>
      </c>
      <c r="AC28" s="65" t="s">
        <v>202</v>
      </c>
    </row>
    <row r="29" spans="2:29" ht="13.9" customHeight="1" x14ac:dyDescent="0.35">
      <c r="B29" s="192" t="str">
        <f>IF(OR(B30&lt;&gt;"False",B31&lt;&gt;"False",B32&lt;&gt;"False",B33&lt;&gt;"False",B34&lt;&gt;"False",B35&lt;&gt;"False"),"Attention!","No Warning Messages")</f>
        <v>No Warning Messages</v>
      </c>
      <c r="C29" s="193"/>
      <c r="D29" s="193"/>
      <c r="E29" s="193"/>
      <c r="F29" s="193"/>
      <c r="G29" s="193"/>
      <c r="H29" s="193"/>
      <c r="I29" s="193"/>
      <c r="J29" s="193"/>
      <c r="K29" s="193"/>
      <c r="L29" s="193"/>
      <c r="M29" s="193"/>
      <c r="N29" s="193"/>
      <c r="O29" s="194"/>
      <c r="S29" s="49"/>
      <c r="T29" s="50"/>
      <c r="U29" s="50"/>
      <c r="V29" s="50"/>
      <c r="W29" s="50"/>
      <c r="X29" s="50"/>
      <c r="Y29" s="50"/>
      <c r="Z29" s="50"/>
      <c r="AA29" s="50"/>
      <c r="AB29" s="51"/>
    </row>
    <row r="30" spans="2:29" ht="13.9" customHeight="1" x14ac:dyDescent="0.35">
      <c r="B30" s="220" t="str">
        <f>IF(COUNTIF(S5:AB5,"Warning")&gt;=1,"-[Line 3] Please return to Step 1. DCV and select 'Yes' or 'No' for hydromodification management applicability in Line 3.","False")</f>
        <v>False</v>
      </c>
      <c r="C30" s="221"/>
      <c r="D30" s="221"/>
      <c r="E30" s="221"/>
      <c r="F30" s="221"/>
      <c r="G30" s="221"/>
      <c r="H30" s="221"/>
      <c r="I30" s="221"/>
      <c r="J30" s="221"/>
      <c r="K30" s="221"/>
      <c r="L30" s="221"/>
      <c r="M30" s="221"/>
      <c r="N30" s="221"/>
      <c r="O30" s="222"/>
      <c r="S30" s="44"/>
      <c r="T30" s="44"/>
      <c r="U30" s="44"/>
      <c r="V30" s="44"/>
      <c r="W30" s="44"/>
      <c r="X30" s="44"/>
      <c r="Y30" s="44"/>
      <c r="Z30" s="44"/>
      <c r="AA30" s="44"/>
      <c r="AB30" s="44"/>
    </row>
    <row r="31" spans="2:29" ht="13.9" customHeight="1" x14ac:dyDescent="0.35">
      <c r="B31" s="180" t="str">
        <f>IF(COUNTIF(S17:AB17,"Warning")&gt;=1,"-[Line 4, Line 15, Line 16] When Hydromodification Control Applicability = Yes, enter the Predominant NRCS Soil Type in Line 4 to continue calculations.","False")</f>
        <v>False</v>
      </c>
      <c r="C31" s="181"/>
      <c r="D31" s="181"/>
      <c r="E31" s="181"/>
      <c r="F31" s="181"/>
      <c r="G31" s="181"/>
      <c r="H31" s="181"/>
      <c r="I31" s="181"/>
      <c r="J31" s="181"/>
      <c r="K31" s="181"/>
      <c r="L31" s="181"/>
      <c r="M31" s="181"/>
      <c r="N31" s="181"/>
      <c r="O31" s="182"/>
    </row>
    <row r="32" spans="2:29" ht="13.9" customHeight="1" x14ac:dyDescent="0.35">
      <c r="B32" s="180" t="str">
        <f>IF(COUNTIF(S12:AB12,"Warning")&gt;=1,"-[Line 12] Applicant to provide supporting documentation for tree species in PDP SWQMP.","False")</f>
        <v>False</v>
      </c>
      <c r="C32" s="181"/>
      <c r="D32" s="181"/>
      <c r="E32" s="181"/>
      <c r="F32" s="181"/>
      <c r="G32" s="181"/>
      <c r="H32" s="181"/>
      <c r="I32" s="181"/>
      <c r="J32" s="181"/>
      <c r="K32" s="181"/>
      <c r="L32" s="181"/>
      <c r="M32" s="181"/>
      <c r="N32" s="181"/>
      <c r="O32" s="182"/>
    </row>
    <row r="33" spans="2:15" ht="14.15" customHeight="1" x14ac:dyDescent="0.35">
      <c r="B33" s="180" t="str">
        <f>IF(COUNTIF(S10:AB11,"Warning")&gt;=1,"-[Line 8 and/or Line 9] Tree well soil volume must be within 1.5x the mature tree canopy radius. Adjust the width and/or length to meet this requirement.","False")</f>
        <v>False</v>
      </c>
      <c r="C33" s="181"/>
      <c r="D33" s="181"/>
      <c r="E33" s="181"/>
      <c r="F33" s="181"/>
      <c r="G33" s="181"/>
      <c r="H33" s="181"/>
      <c r="I33" s="181"/>
      <c r="J33" s="181"/>
      <c r="K33" s="181"/>
      <c r="L33" s="181"/>
      <c r="M33" s="181"/>
      <c r="N33" s="181"/>
      <c r="O33" s="182"/>
    </row>
    <row r="34" spans="2:15" ht="14.15" customHeight="1" x14ac:dyDescent="0.35">
      <c r="B34" s="180" t="str">
        <f>IF(COUNTIF(S23:AB23,"Warning")&gt;=1,"-[Line 21] The number of trees proposed do not provide enough credit volume to meet the requirement (i.e., to satisfy the DCV or RRV as applicable). Increase the number of trees or select a tree that provides a larger credit volume.","False")</f>
        <v>False</v>
      </c>
      <c r="C34" s="181"/>
      <c r="D34" s="181"/>
      <c r="E34" s="181"/>
      <c r="F34" s="181"/>
      <c r="G34" s="181"/>
      <c r="H34" s="181"/>
      <c r="I34" s="181"/>
      <c r="J34" s="181"/>
      <c r="K34" s="181"/>
      <c r="L34" s="181"/>
      <c r="M34" s="181"/>
      <c r="N34" s="181"/>
      <c r="O34" s="182"/>
    </row>
    <row r="35" spans="2:15" ht="14.15" customHeight="1" x14ac:dyDescent="0.35">
      <c r="B35" s="183" t="str">
        <f>IF(COUNTIF(S24:AB24,"Warning")&gt;=1,"-[Line 22] The length and width dimensions proposed for the tree well(s) in Lines 8 and 9 do not provide enough area to meet the tree well soil volume requirement (Line 13) at the installation depth proposed.","False")</f>
        <v>False</v>
      </c>
      <c r="C35" s="184"/>
      <c r="D35" s="184"/>
      <c r="E35" s="184"/>
      <c r="F35" s="184"/>
      <c r="G35" s="184"/>
      <c r="H35" s="184"/>
      <c r="I35" s="184"/>
      <c r="J35" s="184"/>
      <c r="K35" s="184"/>
      <c r="L35" s="184"/>
      <c r="M35" s="184"/>
      <c r="N35" s="184"/>
      <c r="O35" s="185"/>
    </row>
    <row r="36" spans="2:15" x14ac:dyDescent="0.35">
      <c r="B36" s="110" t="s">
        <v>208</v>
      </c>
    </row>
    <row r="37" spans="2:15" x14ac:dyDescent="0.35">
      <c r="B37" s="7" t="s">
        <v>328</v>
      </c>
    </row>
    <row r="38" spans="2:15" x14ac:dyDescent="0.35">
      <c r="B38" s="7" t="s">
        <v>175</v>
      </c>
      <c r="E38" s="98"/>
    </row>
    <row r="39" spans="2:15" x14ac:dyDescent="0.35">
      <c r="B39" s="7" t="s">
        <v>329</v>
      </c>
    </row>
    <row r="40" spans="2:15" x14ac:dyDescent="0.35">
      <c r="E40" s="97"/>
    </row>
    <row r="42" spans="2:15" x14ac:dyDescent="0.35">
      <c r="E42" s="92"/>
      <c r="F42" s="92"/>
      <c r="G42" s="92"/>
      <c r="H42" s="92"/>
      <c r="I42" s="92"/>
    </row>
    <row r="43" spans="2:15" x14ac:dyDescent="0.35">
      <c r="E43" s="92"/>
      <c r="F43" s="92"/>
      <c r="G43" s="92"/>
      <c r="H43" s="92"/>
      <c r="I43" s="92"/>
    </row>
    <row r="44" spans="2:15" x14ac:dyDescent="0.35">
      <c r="E44" s="92"/>
      <c r="F44" s="92"/>
      <c r="G44" s="92"/>
      <c r="H44" s="92"/>
      <c r="I44" s="92"/>
    </row>
    <row r="45" spans="2:15" x14ac:dyDescent="0.35">
      <c r="E45" s="92"/>
      <c r="F45" s="92"/>
      <c r="G45" s="92"/>
      <c r="H45" s="92"/>
      <c r="I45" s="92"/>
    </row>
    <row r="46" spans="2:15" x14ac:dyDescent="0.35">
      <c r="E46" s="92"/>
      <c r="F46" s="92"/>
      <c r="G46" s="92"/>
      <c r="H46" s="92"/>
      <c r="I46" s="92"/>
    </row>
    <row r="47" spans="2:15" x14ac:dyDescent="0.35">
      <c r="E47" s="92"/>
      <c r="F47" s="92"/>
      <c r="G47" s="92"/>
      <c r="H47" s="92"/>
      <c r="I47" s="92"/>
    </row>
    <row r="48" spans="2:15" x14ac:dyDescent="0.35">
      <c r="E48" s="92"/>
      <c r="F48" s="92"/>
      <c r="G48" s="92"/>
      <c r="H48" s="92"/>
      <c r="I48" s="92"/>
    </row>
  </sheetData>
  <sheetProtection algorithmName="SHA-512" hashValue="siXbs5yn68af1GO9yLRDIf4v+PGMYtGtPKO5tcGHhOro07w1w/u4MJuboh8X7YO7MIV0pM2UXHtIq+XRykJOsw==" saltValue="Gv8Jx0OkvzAaOFahfhIl9Q==" spinCount="100000" sheet="1" objects="1" scenarios="1" formatColumns="0"/>
  <mergeCells count="13">
    <mergeCell ref="B34:O34"/>
    <mergeCell ref="B35:O35"/>
    <mergeCell ref="B31:O31"/>
    <mergeCell ref="B33:O33"/>
    <mergeCell ref="B1:O1"/>
    <mergeCell ref="B30:O30"/>
    <mergeCell ref="B32:O32"/>
    <mergeCell ref="S2:AB2"/>
    <mergeCell ref="B3:B11"/>
    <mergeCell ref="B29:O29"/>
    <mergeCell ref="B12:B16"/>
    <mergeCell ref="B17:B25"/>
    <mergeCell ref="B26:B28"/>
  </mergeCells>
  <conditionalFormatting sqref="B29:O29">
    <cfRule type="containsText" dxfId="28" priority="70" operator="containsText" text="No Warning Messages">
      <formula>NOT(ISERROR(SEARCH("No Warning Messages",B29)))</formula>
    </cfRule>
  </conditionalFormatting>
  <conditionalFormatting sqref="E18">
    <cfRule type="containsText" dxfId="27" priority="67" operator="containsText" text="See Messages">
      <formula>NOT(ISERROR(SEARCH("See Messages",E18)))</formula>
    </cfRule>
  </conditionalFormatting>
  <conditionalFormatting sqref="E17">
    <cfRule type="containsText" dxfId="26" priority="62" operator="containsText" text="See Messages">
      <formula>NOT(ISERROR(SEARCH("See Messages",E17)))</formula>
    </cfRule>
  </conditionalFormatting>
  <conditionalFormatting sqref="E6 E8">
    <cfRule type="expression" dxfId="25" priority="51">
      <formula>E5="No"</formula>
    </cfRule>
  </conditionalFormatting>
  <conditionalFormatting sqref="E24">
    <cfRule type="expression" dxfId="24" priority="49">
      <formula>S$24="Warning"</formula>
    </cfRule>
  </conditionalFormatting>
  <conditionalFormatting sqref="E23">
    <cfRule type="expression" dxfId="23" priority="48">
      <formula>S$23="warning"</formula>
    </cfRule>
  </conditionalFormatting>
  <conditionalFormatting sqref="E22">
    <cfRule type="expression" dxfId="22" priority="47">
      <formula>S$22="Warning"</formula>
    </cfRule>
  </conditionalFormatting>
  <conditionalFormatting sqref="E10">
    <cfRule type="expression" dxfId="21" priority="39">
      <formula>S$10="Warning"</formula>
    </cfRule>
  </conditionalFormatting>
  <conditionalFormatting sqref="E11">
    <cfRule type="expression" dxfId="20" priority="38">
      <formula>S$11="Warning"</formula>
    </cfRule>
  </conditionalFormatting>
  <conditionalFormatting sqref="E26">
    <cfRule type="expression" dxfId="19" priority="35">
      <formula>S$26="Warning"</formula>
    </cfRule>
  </conditionalFormatting>
  <conditionalFormatting sqref="E27">
    <cfRule type="expression" dxfId="18" priority="34">
      <formula>S$27="Warning"</formula>
    </cfRule>
  </conditionalFormatting>
  <conditionalFormatting sqref="E28">
    <cfRule type="expression" dxfId="17" priority="33">
      <formula>S$28="Warning"</formula>
    </cfRule>
  </conditionalFormatting>
  <conditionalFormatting sqref="F18:N18">
    <cfRule type="containsText" dxfId="16" priority="21" operator="containsText" text="See Messages">
      <formula>NOT(ISERROR(SEARCH("See Messages",F18)))</formula>
    </cfRule>
  </conditionalFormatting>
  <conditionalFormatting sqref="F17:N17">
    <cfRule type="containsText" dxfId="15" priority="20" operator="containsText" text="See Messages">
      <formula>NOT(ISERROR(SEARCH("See Messages",F17)))</formula>
    </cfRule>
  </conditionalFormatting>
  <conditionalFormatting sqref="F6:N8">
    <cfRule type="expression" dxfId="14" priority="19">
      <formula>F5="No"</formula>
    </cfRule>
  </conditionalFormatting>
  <conditionalFormatting sqref="F24:N24">
    <cfRule type="expression" dxfId="13" priority="18">
      <formula>T$24="Warning"</formula>
    </cfRule>
  </conditionalFormatting>
  <conditionalFormatting sqref="F23:N23">
    <cfRule type="expression" dxfId="12" priority="17">
      <formula>T$23="warning"</formula>
    </cfRule>
  </conditionalFormatting>
  <conditionalFormatting sqref="F22:N22">
    <cfRule type="expression" dxfId="11" priority="16">
      <formula>T$22="Warning"</formula>
    </cfRule>
  </conditionalFormatting>
  <conditionalFormatting sqref="F10:N10">
    <cfRule type="expression" dxfId="10" priority="15">
      <formula>T$10="Warning"</formula>
    </cfRule>
  </conditionalFormatting>
  <conditionalFormatting sqref="F11:N11">
    <cfRule type="expression" dxfId="9" priority="14">
      <formula>T$11="Warning"</formula>
    </cfRule>
  </conditionalFormatting>
  <conditionalFormatting sqref="F26:N26">
    <cfRule type="expression" dxfId="8" priority="13">
      <formula>T$26="Warning"</formula>
    </cfRule>
  </conditionalFormatting>
  <conditionalFormatting sqref="F27:N27">
    <cfRule type="expression" dxfId="7" priority="12">
      <formula>T$27="Warning"</formula>
    </cfRule>
  </conditionalFormatting>
  <conditionalFormatting sqref="F28:N28">
    <cfRule type="expression" dxfId="6" priority="11">
      <formula>T$28="Warning"</formula>
    </cfRule>
  </conditionalFormatting>
  <conditionalFormatting sqref="E21">
    <cfRule type="expression" dxfId="5" priority="10">
      <formula>S$21="Warning"</formula>
    </cfRule>
  </conditionalFormatting>
  <conditionalFormatting sqref="F21:N21">
    <cfRule type="expression" dxfId="4" priority="9">
      <formula>T$21="Warning"</formula>
    </cfRule>
  </conditionalFormatting>
  <conditionalFormatting sqref="E7">
    <cfRule type="expression" dxfId="3" priority="8">
      <formula>E6="No"</formula>
    </cfRule>
  </conditionalFormatting>
  <conditionalFormatting sqref="E5">
    <cfRule type="expression" dxfId="2" priority="7">
      <formula>S$5="Warning"</formula>
    </cfRule>
  </conditionalFormatting>
  <conditionalFormatting sqref="F5:N5">
    <cfRule type="expression" dxfId="1" priority="3">
      <formula>T$5="Warning"</formula>
    </cfRule>
  </conditionalFormatting>
  <conditionalFormatting sqref="B30:O31 B33:O35 B32">
    <cfRule type="cellIs" dxfId="0" priority="1" operator="equal">
      <formula>"False"</formula>
    </cfRule>
  </conditionalFormatting>
  <dataValidations count="2">
    <dataValidation type="decimal" allowBlank="1" showInputMessage="1" showErrorMessage="1" sqref="E10:N11" xr:uid="{359F8C8B-3F6A-4FEE-A78C-BBB76E94DA0D}">
      <formula1>0</formula1>
      <formula2>45</formula2>
    </dataValidation>
    <dataValidation type="whole" allowBlank="1" showInputMessage="1" showErrorMessage="1" error="Enter a whole number between 1 and 100." sqref="E9:N9" xr:uid="{F294DDA0-514B-4370-A08B-0D9AE4C4971E}">
      <formula1>1</formula1>
      <formula2>100</formula2>
    </dataValidation>
  </dataValidations>
  <pageMargins left="0.7" right="0.7" top="0.5" bottom="0.5" header="0.3" footer="0.3"/>
  <pageSetup scale="43" orientation="landscape" r:id="rId1"/>
  <drawing r:id="rId2"/>
  <extLst>
    <ext xmlns:x14="http://schemas.microsoft.com/office/spreadsheetml/2009/9/main" uri="{CCE6A557-97BC-4b89-ADB6-D9C93CAAB3DF}">
      <x14:dataValidations xmlns:xm="http://schemas.microsoft.com/office/excel/2006/main" count="4">
        <x14:dataValidation type="list" operator="greaterThan" allowBlank="1" showInputMessage="1" showErrorMessage="1" xr:uid="{34201095-4C55-453D-967D-BE345B835862}">
          <x14:formula1>
            <xm:f>Ref_Tree_Wells!$B$10:$B$13</xm:f>
          </x14:formula1>
          <xm:sqref>E8:N8</xm:sqref>
        </x14:dataValidation>
        <x14:dataValidation type="list" allowBlank="1" showInputMessage="1" showErrorMessage="1" xr:uid="{921A7AEC-5B16-4704-A276-B31EBF120305}">
          <x14:formula1>
            <xm:f>Ref_Tree_Wells!$D$3:$D$21</xm:f>
          </x14:formula1>
          <xm:sqref>E8:N8</xm:sqref>
        </x14:dataValidation>
        <x14:dataValidation type="list" allowBlank="1" showInputMessage="1" showErrorMessage="1" xr:uid="{1CC95502-A1EF-4032-B701-FA7C4F5EB93A}">
          <x14:formula1>
            <xm:f>Ref_Tree_Wells!$A$10:$A$13</xm:f>
          </x14:formula1>
          <xm:sqref>E6:N6 E8:N8</xm:sqref>
        </x14:dataValidation>
        <x14:dataValidation type="list" allowBlank="1" showInputMessage="1" showErrorMessage="1" xr:uid="{E7E88D2D-8857-4841-8D6D-5F5429F0E5D2}">
          <x14:formula1>
            <xm:f>Ref_Tree_Wells!$D$3:$D$26</xm:f>
          </x14:formula1>
          <xm:sqref>E7:N7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T87"/>
  <sheetViews>
    <sheetView showGridLines="0" zoomScaleNormal="100" workbookViewId="0"/>
  </sheetViews>
  <sheetFormatPr defaultColWidth="9.1796875" defaultRowHeight="14.5" x14ac:dyDescent="0.35"/>
  <cols>
    <col min="1" max="1" width="9.1796875" style="81"/>
    <col min="2" max="3" width="20.7265625" style="81" customWidth="1"/>
    <col min="4" max="5" width="9.1796875" style="81"/>
    <col min="6" max="7" width="20.7265625" style="81" customWidth="1"/>
    <col min="8" max="16384" width="9.1796875" style="81"/>
  </cols>
  <sheetData>
    <row r="1" spans="2:7" x14ac:dyDescent="0.35">
      <c r="B1" s="19" t="s">
        <v>21</v>
      </c>
      <c r="F1" s="19" t="s">
        <v>22</v>
      </c>
    </row>
    <row r="2" spans="2:7" ht="33.75" customHeight="1" x14ac:dyDescent="0.35">
      <c r="B2" s="20" t="s">
        <v>19</v>
      </c>
      <c r="C2" s="20" t="s">
        <v>20</v>
      </c>
      <c r="F2" s="20" t="s">
        <v>19</v>
      </c>
      <c r="G2" s="20" t="s">
        <v>20</v>
      </c>
    </row>
    <row r="3" spans="2:7" ht="15" customHeight="1" x14ac:dyDescent="0.35">
      <c r="B3" s="13" t="s">
        <v>10</v>
      </c>
      <c r="C3" s="13">
        <v>0</v>
      </c>
      <c r="F3" s="21">
        <v>0</v>
      </c>
      <c r="G3" s="21">
        <v>0</v>
      </c>
    </row>
    <row r="4" spans="2:7" ht="15" customHeight="1" x14ac:dyDescent="0.35">
      <c r="B4" s="13">
        <v>0</v>
      </c>
      <c r="C4" s="13">
        <v>0</v>
      </c>
      <c r="F4" s="21">
        <v>5</v>
      </c>
      <c r="G4" s="21">
        <v>10</v>
      </c>
    </row>
    <row r="5" spans="2:7" ht="15" customHeight="1" x14ac:dyDescent="0.35">
      <c r="B5" s="4">
        <v>1</v>
      </c>
      <c r="C5" s="4">
        <f>TREND(G$3:G$4,F$3:F$4,B5,TRUE)</f>
        <v>2</v>
      </c>
      <c r="F5" s="21">
        <v>10</v>
      </c>
      <c r="G5" s="21">
        <v>40</v>
      </c>
    </row>
    <row r="6" spans="2:7" ht="15" customHeight="1" x14ac:dyDescent="0.35">
      <c r="B6" s="4">
        <v>2</v>
      </c>
      <c r="C6" s="4">
        <f>TREND(G$3:G$4,F$3:F$4,B6,TRUE)</f>
        <v>4</v>
      </c>
      <c r="F6" s="21">
        <v>15</v>
      </c>
      <c r="G6" s="21">
        <v>100</v>
      </c>
    </row>
    <row r="7" spans="2:7" ht="15" customHeight="1" x14ac:dyDescent="0.35">
      <c r="B7" s="4">
        <v>3</v>
      </c>
      <c r="C7" s="4">
        <f>TREND(G$3:G$4,F$3:F$4,B7,TRUE)</f>
        <v>6</v>
      </c>
      <c r="F7" s="21">
        <v>20</v>
      </c>
      <c r="G7" s="21">
        <v>180</v>
      </c>
    </row>
    <row r="8" spans="2:7" ht="15" customHeight="1" x14ac:dyDescent="0.35">
      <c r="B8" s="4">
        <v>4</v>
      </c>
      <c r="C8" s="4">
        <f>TREND(G$3:G$4,F$3:F$4,B8,TRUE)</f>
        <v>8</v>
      </c>
      <c r="F8" s="21">
        <v>25</v>
      </c>
      <c r="G8" s="21">
        <v>290</v>
      </c>
    </row>
    <row r="9" spans="2:7" ht="15" customHeight="1" x14ac:dyDescent="0.35">
      <c r="B9" s="14">
        <v>5</v>
      </c>
      <c r="C9" s="13">
        <v>10</v>
      </c>
      <c r="F9" s="21">
        <v>30</v>
      </c>
      <c r="G9" s="21">
        <v>420</v>
      </c>
    </row>
    <row r="10" spans="2:7" ht="15" customHeight="1" x14ac:dyDescent="0.35">
      <c r="B10" s="4">
        <v>6</v>
      </c>
      <c r="C10" s="16">
        <f>TREND(G$4:G$5,F$4:F$5,B10,TRUE)</f>
        <v>16</v>
      </c>
    </row>
    <row r="11" spans="2:7" ht="15" customHeight="1" x14ac:dyDescent="0.35">
      <c r="B11" s="4">
        <v>7</v>
      </c>
      <c r="C11" s="16">
        <f>TREND(G$4:G$5,F$4:F$5,B11,TRUE)</f>
        <v>22</v>
      </c>
    </row>
    <row r="12" spans="2:7" ht="15" customHeight="1" x14ac:dyDescent="0.35">
      <c r="B12" s="4">
        <v>8</v>
      </c>
      <c r="C12" s="16">
        <f>TREND(G$4:G$5,F$4:F$5,B12,TRUE)</f>
        <v>28</v>
      </c>
    </row>
    <row r="13" spans="2:7" ht="15" customHeight="1" x14ac:dyDescent="0.35">
      <c r="B13" s="4">
        <v>9</v>
      </c>
      <c r="C13" s="16">
        <f>TREND(G$4:G$5,F$4:F$5,B13,TRUE)</f>
        <v>34</v>
      </c>
    </row>
    <row r="14" spans="2:7" ht="15" customHeight="1" x14ac:dyDescent="0.35">
      <c r="B14" s="14">
        <v>10</v>
      </c>
      <c r="C14" s="14">
        <v>40</v>
      </c>
    </row>
    <row r="15" spans="2:7" ht="15" customHeight="1" x14ac:dyDescent="0.35">
      <c r="B15" s="4">
        <v>11</v>
      </c>
      <c r="C15" s="16">
        <f>TREND(G$5:G$6,F$5:F$6,B15,TRUE)</f>
        <v>52.000000000000028</v>
      </c>
    </row>
    <row r="16" spans="2:7" ht="15" customHeight="1" x14ac:dyDescent="0.35">
      <c r="B16" s="4">
        <v>12</v>
      </c>
      <c r="C16" s="16">
        <f>TREND(G$5:G$6,F$5:F$6,B16,TRUE)</f>
        <v>64</v>
      </c>
    </row>
    <row r="17" spans="2:3" ht="15" customHeight="1" x14ac:dyDescent="0.35">
      <c r="B17" s="4">
        <v>13</v>
      </c>
      <c r="C17" s="16">
        <f>TREND(G$5:G$6,F$5:F$6,B17,TRUE)</f>
        <v>76</v>
      </c>
    </row>
    <row r="18" spans="2:3" ht="15" customHeight="1" x14ac:dyDescent="0.35">
      <c r="B18" s="4">
        <v>14</v>
      </c>
      <c r="C18" s="16">
        <f>TREND(G$5:G$6,F$5:F$6,B18,TRUE)</f>
        <v>88</v>
      </c>
    </row>
    <row r="19" spans="2:3" ht="15" customHeight="1" x14ac:dyDescent="0.35">
      <c r="B19" s="14">
        <v>15</v>
      </c>
      <c r="C19" s="17">
        <v>100</v>
      </c>
    </row>
    <row r="20" spans="2:3" ht="15" customHeight="1" x14ac:dyDescent="0.35">
      <c r="B20" s="4">
        <v>16</v>
      </c>
      <c r="C20" s="16">
        <f>TREND(G$6:G$7,F$6:F$7,B20,TRUE)</f>
        <v>116</v>
      </c>
    </row>
    <row r="21" spans="2:3" ht="15" customHeight="1" x14ac:dyDescent="0.35">
      <c r="B21" s="4">
        <v>17</v>
      </c>
      <c r="C21" s="16">
        <f>TREND(G$6:G$7,F$6:F$7,B21,TRUE)</f>
        <v>132</v>
      </c>
    </row>
    <row r="22" spans="2:3" ht="15" customHeight="1" x14ac:dyDescent="0.35">
      <c r="B22" s="4">
        <v>18</v>
      </c>
      <c r="C22" s="16">
        <f>TREND(G$6:G$7,F$6:F$7,B22,TRUE)</f>
        <v>148</v>
      </c>
    </row>
    <row r="23" spans="2:3" ht="15" customHeight="1" x14ac:dyDescent="0.35">
      <c r="B23" s="4">
        <v>19</v>
      </c>
      <c r="C23" s="16">
        <f>TREND(G$6:G$7,F$6:F$7,B23,TRUE)</f>
        <v>164</v>
      </c>
    </row>
    <row r="24" spans="2:3" ht="15" customHeight="1" x14ac:dyDescent="0.35">
      <c r="B24" s="14">
        <v>20</v>
      </c>
      <c r="C24" s="14">
        <v>180</v>
      </c>
    </row>
    <row r="25" spans="2:3" ht="15" customHeight="1" x14ac:dyDescent="0.35">
      <c r="B25" s="4">
        <v>21</v>
      </c>
      <c r="C25" s="16">
        <f>TREND(G$7:G$8,F$7:F$8,B25,TRUE)</f>
        <v>202</v>
      </c>
    </row>
    <row r="26" spans="2:3" ht="15" customHeight="1" x14ac:dyDescent="0.35">
      <c r="B26" s="4">
        <v>22</v>
      </c>
      <c r="C26" s="16">
        <f>TREND(G$7:G$8,F$7:F$8,B26,TRUE)</f>
        <v>224</v>
      </c>
    </row>
    <row r="27" spans="2:3" ht="15" customHeight="1" x14ac:dyDescent="0.35">
      <c r="B27" s="4">
        <v>23</v>
      </c>
      <c r="C27" s="16">
        <f>TREND(G$7:G$8,F$7:F$8,B27,TRUE)</f>
        <v>246</v>
      </c>
    </row>
    <row r="28" spans="2:3" ht="15" customHeight="1" x14ac:dyDescent="0.35">
      <c r="B28" s="4">
        <v>24</v>
      </c>
      <c r="C28" s="16">
        <f>TREND(G$7:G$8,F$7:F$8,B28,TRUE)</f>
        <v>267.99999999999994</v>
      </c>
    </row>
    <row r="29" spans="2:3" ht="15" customHeight="1" x14ac:dyDescent="0.35">
      <c r="B29" s="14">
        <v>25</v>
      </c>
      <c r="C29" s="14">
        <v>290</v>
      </c>
    </row>
    <row r="30" spans="2:3" ht="15" customHeight="1" x14ac:dyDescent="0.35">
      <c r="B30" s="4">
        <v>26</v>
      </c>
      <c r="C30" s="16">
        <f>TREND(G$8:G$9,F$8:F$9,B30,TRUE)</f>
        <v>316</v>
      </c>
    </row>
    <row r="31" spans="2:3" ht="15" customHeight="1" x14ac:dyDescent="0.35">
      <c r="B31" s="4">
        <v>27</v>
      </c>
      <c r="C31" s="16">
        <f>TREND(G$8:G$9,F$8:F$9,B31,TRUE)</f>
        <v>342</v>
      </c>
    </row>
    <row r="32" spans="2:3" ht="15" customHeight="1" x14ac:dyDescent="0.35">
      <c r="B32" s="4">
        <v>28</v>
      </c>
      <c r="C32" s="16">
        <f>TREND(G$8:G$9,F$8:F$9,B32,TRUE)</f>
        <v>368</v>
      </c>
    </row>
    <row r="33" spans="1:20" ht="15" customHeight="1" x14ac:dyDescent="0.35">
      <c r="B33" s="4">
        <v>29</v>
      </c>
      <c r="C33" s="16">
        <f>TREND(G$8:G$9,F$8:F$9,B33,TRUE)</f>
        <v>394</v>
      </c>
    </row>
    <row r="34" spans="1:20" ht="15" customHeight="1" x14ac:dyDescent="0.35">
      <c r="B34" s="14">
        <v>30</v>
      </c>
      <c r="C34" s="17">
        <v>420</v>
      </c>
    </row>
    <row r="35" spans="1:20" ht="15" customHeight="1" x14ac:dyDescent="0.35">
      <c r="B35" s="15"/>
      <c r="C35" s="15"/>
    </row>
    <row r="36" spans="1:20" ht="15" customHeight="1" x14ac:dyDescent="0.35">
      <c r="A36" s="22"/>
      <c r="B36" s="23"/>
      <c r="C36" s="23"/>
      <c r="D36" s="22"/>
      <c r="E36" s="22"/>
      <c r="F36" s="22"/>
      <c r="G36" s="22"/>
      <c r="H36" s="22"/>
      <c r="I36" s="22"/>
      <c r="J36" s="22"/>
      <c r="K36" s="22"/>
      <c r="L36" s="22"/>
      <c r="M36" s="22"/>
      <c r="N36" s="22"/>
      <c r="O36" s="22"/>
      <c r="P36" s="22"/>
      <c r="Q36" s="22"/>
      <c r="R36" s="22"/>
      <c r="S36" s="22"/>
      <c r="T36" s="22"/>
    </row>
    <row r="38" spans="1:20" x14ac:dyDescent="0.35">
      <c r="B38" s="19" t="s">
        <v>61</v>
      </c>
    </row>
    <row r="39" spans="1:20" x14ac:dyDescent="0.35">
      <c r="B39" s="4" t="s">
        <v>6</v>
      </c>
    </row>
    <row r="40" spans="1:20" x14ac:dyDescent="0.35">
      <c r="B40" s="4" t="s">
        <v>17</v>
      </c>
    </row>
    <row r="41" spans="1:20" x14ac:dyDescent="0.35">
      <c r="B41" s="4" t="s">
        <v>10</v>
      </c>
    </row>
    <row r="42" spans="1:20" x14ac:dyDescent="0.35">
      <c r="A42" s="18"/>
      <c r="B42" s="18"/>
      <c r="C42" s="18"/>
      <c r="D42" s="18"/>
      <c r="E42" s="18"/>
      <c r="F42" s="18"/>
      <c r="G42" s="18"/>
      <c r="H42" s="18"/>
      <c r="I42" s="18"/>
      <c r="J42" s="18"/>
      <c r="K42" s="18"/>
      <c r="L42" s="18"/>
      <c r="M42" s="18"/>
      <c r="N42" s="18"/>
      <c r="O42" s="18"/>
      <c r="P42" s="18"/>
      <c r="Q42" s="18"/>
      <c r="R42" s="18"/>
      <c r="S42" s="18"/>
      <c r="T42" s="18"/>
    </row>
    <row r="43" spans="1:20" x14ac:dyDescent="0.35">
      <c r="A43" s="22"/>
      <c r="B43" s="22"/>
      <c r="C43" s="22"/>
      <c r="D43" s="22"/>
      <c r="E43" s="22"/>
      <c r="F43" s="22"/>
      <c r="G43" s="22"/>
      <c r="H43" s="22"/>
      <c r="I43" s="22"/>
      <c r="J43" s="22"/>
      <c r="K43" s="22"/>
      <c r="L43" s="22"/>
      <c r="M43" s="22"/>
      <c r="N43" s="22"/>
      <c r="O43" s="22"/>
      <c r="P43" s="22"/>
      <c r="Q43" s="22"/>
      <c r="R43" s="22"/>
      <c r="S43" s="22"/>
      <c r="T43" s="22"/>
    </row>
    <row r="45" spans="1:20" x14ac:dyDescent="0.35">
      <c r="B45" s="19" t="s">
        <v>27</v>
      </c>
      <c r="J45" s="19" t="s">
        <v>67</v>
      </c>
    </row>
    <row r="46" spans="1:20" ht="30" customHeight="1" x14ac:dyDescent="0.35">
      <c r="B46" s="20" t="s">
        <v>66</v>
      </c>
      <c r="C46" s="20" t="s">
        <v>44</v>
      </c>
      <c r="D46" s="20" t="s">
        <v>45</v>
      </c>
      <c r="E46" s="20" t="s">
        <v>46</v>
      </c>
      <c r="F46" s="20" t="s">
        <v>47</v>
      </c>
      <c r="J46" s="20" t="s">
        <v>23</v>
      </c>
      <c r="K46" s="20" t="s">
        <v>44</v>
      </c>
      <c r="L46" s="20" t="s">
        <v>45</v>
      </c>
      <c r="M46" s="20" t="s">
        <v>46</v>
      </c>
      <c r="N46" s="20" t="s">
        <v>47</v>
      </c>
    </row>
    <row r="47" spans="1:20" x14ac:dyDescent="0.35">
      <c r="B47" s="55">
        <v>0</v>
      </c>
      <c r="C47" s="26">
        <f>K47</f>
        <v>0</v>
      </c>
      <c r="D47" s="26">
        <f t="shared" ref="D47:F47" si="0">L47</f>
        <v>0</v>
      </c>
      <c r="E47" s="26">
        <f t="shared" si="0"/>
        <v>0.31</v>
      </c>
      <c r="F47" s="26">
        <f t="shared" si="0"/>
        <v>0.77</v>
      </c>
      <c r="J47" s="21">
        <v>1</v>
      </c>
      <c r="K47" s="25">
        <v>0</v>
      </c>
      <c r="L47" s="25">
        <v>0</v>
      </c>
      <c r="M47" s="25">
        <v>0.31</v>
      </c>
      <c r="N47" s="25">
        <v>0.77</v>
      </c>
    </row>
    <row r="48" spans="1:20" x14ac:dyDescent="0.35">
      <c r="B48" s="24">
        <v>0.1</v>
      </c>
      <c r="C48" s="25">
        <f>C47</f>
        <v>0</v>
      </c>
      <c r="D48" s="25">
        <f>D47</f>
        <v>0</v>
      </c>
      <c r="E48" s="25">
        <f>E47</f>
        <v>0.31</v>
      </c>
      <c r="F48" s="25">
        <f>F47</f>
        <v>0.77</v>
      </c>
      <c r="J48" s="21">
        <v>2</v>
      </c>
      <c r="K48" s="25">
        <v>0</v>
      </c>
      <c r="L48" s="25">
        <v>0.24</v>
      </c>
      <c r="M48" s="25">
        <v>0.5</v>
      </c>
      <c r="N48" s="25">
        <v>0.84</v>
      </c>
    </row>
    <row r="49" spans="2:14" x14ac:dyDescent="0.35">
      <c r="B49" s="24">
        <v>0.2</v>
      </c>
      <c r="C49" s="25">
        <f t="shared" ref="C49:C56" si="1">C48</f>
        <v>0</v>
      </c>
      <c r="D49" s="25">
        <f t="shared" ref="D49:D56" si="2">D48</f>
        <v>0</v>
      </c>
      <c r="E49" s="25">
        <f t="shared" ref="E49:E56" si="3">E48</f>
        <v>0.31</v>
      </c>
      <c r="F49" s="25">
        <f t="shared" ref="F49:F56" si="4">F48</f>
        <v>0.77</v>
      </c>
      <c r="J49" s="21">
        <v>3</v>
      </c>
      <c r="K49" s="25">
        <v>0.21</v>
      </c>
      <c r="L49" s="25">
        <v>0.38</v>
      </c>
      <c r="M49" s="25">
        <v>0.6</v>
      </c>
      <c r="N49" s="25">
        <v>0.87</v>
      </c>
    </row>
    <row r="50" spans="2:14" x14ac:dyDescent="0.35">
      <c r="B50" s="24">
        <v>0.3</v>
      </c>
      <c r="C50" s="25">
        <f t="shared" si="1"/>
        <v>0</v>
      </c>
      <c r="D50" s="25">
        <f t="shared" si="2"/>
        <v>0</v>
      </c>
      <c r="E50" s="25">
        <f t="shared" si="3"/>
        <v>0.31</v>
      </c>
      <c r="F50" s="25">
        <f t="shared" si="4"/>
        <v>0.77</v>
      </c>
      <c r="J50" s="21">
        <v>4</v>
      </c>
      <c r="K50" s="25">
        <v>0.32</v>
      </c>
      <c r="L50" s="25">
        <v>0.48</v>
      </c>
      <c r="M50" s="25">
        <v>0.67</v>
      </c>
      <c r="N50" s="25">
        <v>0.9</v>
      </c>
    </row>
    <row r="51" spans="2:14" x14ac:dyDescent="0.35">
      <c r="B51" s="24">
        <v>0.4</v>
      </c>
      <c r="C51" s="25">
        <f t="shared" si="1"/>
        <v>0</v>
      </c>
      <c r="D51" s="25">
        <f t="shared" si="2"/>
        <v>0</v>
      </c>
      <c r="E51" s="25">
        <f t="shared" si="3"/>
        <v>0.31</v>
      </c>
      <c r="F51" s="25">
        <f t="shared" si="4"/>
        <v>0.77</v>
      </c>
    </row>
    <row r="52" spans="2:14" x14ac:dyDescent="0.35">
      <c r="B52" s="24">
        <v>0.5</v>
      </c>
      <c r="C52" s="25">
        <f t="shared" si="1"/>
        <v>0</v>
      </c>
      <c r="D52" s="25">
        <f t="shared" si="2"/>
        <v>0</v>
      </c>
      <c r="E52" s="25">
        <f t="shared" si="3"/>
        <v>0.31</v>
      </c>
      <c r="F52" s="25">
        <f t="shared" si="4"/>
        <v>0.77</v>
      </c>
    </row>
    <row r="53" spans="2:14" x14ac:dyDescent="0.35">
      <c r="B53" s="24">
        <v>0.6</v>
      </c>
      <c r="C53" s="25">
        <f t="shared" si="1"/>
        <v>0</v>
      </c>
      <c r="D53" s="25">
        <f t="shared" si="2"/>
        <v>0</v>
      </c>
      <c r="E53" s="25">
        <f t="shared" si="3"/>
        <v>0.31</v>
      </c>
      <c r="F53" s="25">
        <f t="shared" si="4"/>
        <v>0.77</v>
      </c>
    </row>
    <row r="54" spans="2:14" x14ac:dyDescent="0.35">
      <c r="B54" s="24">
        <v>0.7</v>
      </c>
      <c r="C54" s="25">
        <f t="shared" si="1"/>
        <v>0</v>
      </c>
      <c r="D54" s="25">
        <f t="shared" si="2"/>
        <v>0</v>
      </c>
      <c r="E54" s="25">
        <f t="shared" si="3"/>
        <v>0.31</v>
      </c>
      <c r="F54" s="25">
        <f t="shared" si="4"/>
        <v>0.77</v>
      </c>
    </row>
    <row r="55" spans="2:14" x14ac:dyDescent="0.35">
      <c r="B55" s="24">
        <v>0.8</v>
      </c>
      <c r="C55" s="25">
        <f t="shared" si="1"/>
        <v>0</v>
      </c>
      <c r="D55" s="25">
        <f t="shared" si="2"/>
        <v>0</v>
      </c>
      <c r="E55" s="25">
        <f t="shared" si="3"/>
        <v>0.31</v>
      </c>
      <c r="F55" s="25">
        <f t="shared" si="4"/>
        <v>0.77</v>
      </c>
    </row>
    <row r="56" spans="2:14" x14ac:dyDescent="0.35">
      <c r="B56" s="24">
        <v>0.9</v>
      </c>
      <c r="C56" s="25">
        <f t="shared" si="1"/>
        <v>0</v>
      </c>
      <c r="D56" s="25">
        <f t="shared" si="2"/>
        <v>0</v>
      </c>
      <c r="E56" s="25">
        <f t="shared" si="3"/>
        <v>0.31</v>
      </c>
      <c r="F56" s="25">
        <f t="shared" si="4"/>
        <v>0.77</v>
      </c>
    </row>
    <row r="57" spans="2:14" x14ac:dyDescent="0.35">
      <c r="B57" s="28">
        <f>J47</f>
        <v>1</v>
      </c>
      <c r="C57" s="2">
        <f t="shared" ref="C57:F57" si="5">K47</f>
        <v>0</v>
      </c>
      <c r="D57" s="2">
        <f t="shared" si="5"/>
        <v>0</v>
      </c>
      <c r="E57" s="2">
        <f t="shared" si="5"/>
        <v>0.31</v>
      </c>
      <c r="F57" s="2">
        <f t="shared" si="5"/>
        <v>0.77</v>
      </c>
    </row>
    <row r="58" spans="2:14" x14ac:dyDescent="0.35">
      <c r="B58" s="24">
        <v>1.1000000000000001</v>
      </c>
      <c r="C58" s="25">
        <f t="shared" ref="C58:C66" si="6">ROUND(TREND(K$47:K$48,$J$47:$J$48,$B58,TRUE),2)</f>
        <v>0</v>
      </c>
      <c r="D58" s="25">
        <f t="shared" ref="D58:F63" si="7">ROUND(TREND(L$47:L$48,$J$47:$J$48,$B58,TRUE),2)</f>
        <v>0.02</v>
      </c>
      <c r="E58" s="25">
        <f t="shared" si="7"/>
        <v>0.33</v>
      </c>
      <c r="F58" s="25">
        <f t="shared" si="7"/>
        <v>0.78</v>
      </c>
    </row>
    <row r="59" spans="2:14" x14ac:dyDescent="0.35">
      <c r="B59" s="24">
        <v>1.2</v>
      </c>
      <c r="C59" s="25">
        <f t="shared" si="6"/>
        <v>0</v>
      </c>
      <c r="D59" s="25">
        <f t="shared" si="7"/>
        <v>0.05</v>
      </c>
      <c r="E59" s="25">
        <f t="shared" si="7"/>
        <v>0.35</v>
      </c>
      <c r="F59" s="25">
        <f t="shared" si="7"/>
        <v>0.78</v>
      </c>
    </row>
    <row r="60" spans="2:14" x14ac:dyDescent="0.35">
      <c r="B60" s="24">
        <v>1.3</v>
      </c>
      <c r="C60" s="25">
        <f t="shared" si="6"/>
        <v>0</v>
      </c>
      <c r="D60" s="25">
        <f t="shared" si="7"/>
        <v>7.0000000000000007E-2</v>
      </c>
      <c r="E60" s="25">
        <f t="shared" si="7"/>
        <v>0.37</v>
      </c>
      <c r="F60" s="25">
        <f t="shared" si="7"/>
        <v>0.79</v>
      </c>
    </row>
    <row r="61" spans="2:14" x14ac:dyDescent="0.35">
      <c r="B61" s="24">
        <v>1.4</v>
      </c>
      <c r="C61" s="25">
        <f t="shared" si="6"/>
        <v>0</v>
      </c>
      <c r="D61" s="25">
        <f t="shared" si="7"/>
        <v>0.1</v>
      </c>
      <c r="E61" s="25">
        <f t="shared" si="7"/>
        <v>0.39</v>
      </c>
      <c r="F61" s="25">
        <f t="shared" si="7"/>
        <v>0.8</v>
      </c>
    </row>
    <row r="62" spans="2:14" x14ac:dyDescent="0.35">
      <c r="B62" s="24">
        <v>1.5</v>
      </c>
      <c r="C62" s="25">
        <f t="shared" si="6"/>
        <v>0</v>
      </c>
      <c r="D62" s="25">
        <f t="shared" si="7"/>
        <v>0.12</v>
      </c>
      <c r="E62" s="25">
        <f t="shared" si="7"/>
        <v>0.41</v>
      </c>
      <c r="F62" s="25">
        <f t="shared" si="7"/>
        <v>0.81</v>
      </c>
    </row>
    <row r="63" spans="2:14" x14ac:dyDescent="0.35">
      <c r="B63" s="24">
        <v>1.6</v>
      </c>
      <c r="C63" s="25">
        <f t="shared" si="6"/>
        <v>0</v>
      </c>
      <c r="D63" s="25">
        <f t="shared" si="7"/>
        <v>0.14000000000000001</v>
      </c>
      <c r="E63" s="25">
        <f t="shared" si="7"/>
        <v>0.42</v>
      </c>
      <c r="F63" s="25">
        <f t="shared" si="7"/>
        <v>0.81</v>
      </c>
    </row>
    <row r="64" spans="2:14" x14ac:dyDescent="0.35">
      <c r="B64" s="24">
        <v>1.7</v>
      </c>
      <c r="C64" s="25">
        <f t="shared" si="6"/>
        <v>0</v>
      </c>
      <c r="D64" s="25">
        <f t="shared" ref="D64:D66" si="8">ROUND(TREND(L$47:L$48,$J$47:$J$48,$B64,TRUE),2)</f>
        <v>0.17</v>
      </c>
      <c r="E64" s="25">
        <f t="shared" ref="E64:E66" si="9">ROUND(TREND(M$47:M$48,$J$47:$J$48,$B64,TRUE),2)</f>
        <v>0.44</v>
      </c>
      <c r="F64" s="25">
        <f t="shared" ref="F64:F66" si="10">ROUND(TREND(N$47:N$48,$J$47:$J$48,$B64,TRUE),2)</f>
        <v>0.82</v>
      </c>
    </row>
    <row r="65" spans="2:6" x14ac:dyDescent="0.35">
      <c r="B65" s="24">
        <v>1.8</v>
      </c>
      <c r="C65" s="25">
        <f t="shared" si="6"/>
        <v>0</v>
      </c>
      <c r="D65" s="25">
        <f t="shared" si="8"/>
        <v>0.19</v>
      </c>
      <c r="E65" s="25">
        <f t="shared" si="9"/>
        <v>0.46</v>
      </c>
      <c r="F65" s="25">
        <f t="shared" si="10"/>
        <v>0.83</v>
      </c>
    </row>
    <row r="66" spans="2:6" x14ac:dyDescent="0.35">
      <c r="B66" s="24">
        <v>1.9</v>
      </c>
      <c r="C66" s="25">
        <f t="shared" si="6"/>
        <v>0</v>
      </c>
      <c r="D66" s="25">
        <f t="shared" si="8"/>
        <v>0.22</v>
      </c>
      <c r="E66" s="25">
        <f t="shared" si="9"/>
        <v>0.48</v>
      </c>
      <c r="F66" s="25">
        <f t="shared" si="10"/>
        <v>0.83</v>
      </c>
    </row>
    <row r="67" spans="2:6" x14ac:dyDescent="0.35">
      <c r="B67" s="27">
        <f>J48</f>
        <v>2</v>
      </c>
      <c r="C67" s="1">
        <f t="shared" ref="C67:F67" si="11">K48</f>
        <v>0</v>
      </c>
      <c r="D67" s="1">
        <f t="shared" si="11"/>
        <v>0.24</v>
      </c>
      <c r="E67" s="1">
        <f t="shared" si="11"/>
        <v>0.5</v>
      </c>
      <c r="F67" s="1">
        <f t="shared" si="11"/>
        <v>0.84</v>
      </c>
    </row>
    <row r="68" spans="2:6" x14ac:dyDescent="0.35">
      <c r="B68" s="24">
        <v>2.1</v>
      </c>
      <c r="C68" s="25">
        <f>ROUND(TREND(K$48:K$49,$J$48:$J$49,$B68,TRUE),2)</f>
        <v>0.02</v>
      </c>
      <c r="D68" s="25">
        <f t="shared" ref="D68:F76" si="12">ROUND(TREND(L$48:L$49,$J$48:$J$49,$B68,TRUE),2)</f>
        <v>0.25</v>
      </c>
      <c r="E68" s="25">
        <f t="shared" si="12"/>
        <v>0.51</v>
      </c>
      <c r="F68" s="25">
        <f t="shared" si="12"/>
        <v>0.84</v>
      </c>
    </row>
    <row r="69" spans="2:6" x14ac:dyDescent="0.35">
      <c r="B69" s="24">
        <v>2.2000000000000002</v>
      </c>
      <c r="C69" s="25">
        <f t="shared" ref="C69:C76" si="13">ROUND(TREND(K$48:K$49,$J$48:$J$49,$B69,TRUE),2)</f>
        <v>0.04</v>
      </c>
      <c r="D69" s="25">
        <f t="shared" si="12"/>
        <v>0.27</v>
      </c>
      <c r="E69" s="25">
        <f t="shared" si="12"/>
        <v>0.52</v>
      </c>
      <c r="F69" s="25">
        <f t="shared" si="12"/>
        <v>0.85</v>
      </c>
    </row>
    <row r="70" spans="2:6" x14ac:dyDescent="0.35">
      <c r="B70" s="24">
        <v>2.2999999999999998</v>
      </c>
      <c r="C70" s="25">
        <f t="shared" si="13"/>
        <v>0.06</v>
      </c>
      <c r="D70" s="25">
        <f t="shared" si="12"/>
        <v>0.28000000000000003</v>
      </c>
      <c r="E70" s="25">
        <f t="shared" si="12"/>
        <v>0.53</v>
      </c>
      <c r="F70" s="25">
        <f t="shared" si="12"/>
        <v>0.85</v>
      </c>
    </row>
    <row r="71" spans="2:6" x14ac:dyDescent="0.35">
      <c r="B71" s="24">
        <v>2.4</v>
      </c>
      <c r="C71" s="25">
        <f t="shared" si="13"/>
        <v>0.08</v>
      </c>
      <c r="D71" s="25">
        <f t="shared" si="12"/>
        <v>0.3</v>
      </c>
      <c r="E71" s="25">
        <f t="shared" si="12"/>
        <v>0.54</v>
      </c>
      <c r="F71" s="25">
        <f t="shared" si="12"/>
        <v>0.85</v>
      </c>
    </row>
    <row r="72" spans="2:6" x14ac:dyDescent="0.35">
      <c r="B72" s="24">
        <v>2.5</v>
      </c>
      <c r="C72" s="25">
        <f t="shared" si="13"/>
        <v>0.11</v>
      </c>
      <c r="D72" s="25">
        <f t="shared" si="12"/>
        <v>0.31</v>
      </c>
      <c r="E72" s="25">
        <f t="shared" si="12"/>
        <v>0.55000000000000004</v>
      </c>
      <c r="F72" s="25">
        <f t="shared" si="12"/>
        <v>0.86</v>
      </c>
    </row>
    <row r="73" spans="2:6" x14ac:dyDescent="0.35">
      <c r="B73" s="24">
        <v>2.6</v>
      </c>
      <c r="C73" s="25">
        <f t="shared" si="13"/>
        <v>0.13</v>
      </c>
      <c r="D73" s="25">
        <f t="shared" si="12"/>
        <v>0.32</v>
      </c>
      <c r="E73" s="25">
        <f t="shared" si="12"/>
        <v>0.56000000000000005</v>
      </c>
      <c r="F73" s="25">
        <f t="shared" si="12"/>
        <v>0.86</v>
      </c>
    </row>
    <row r="74" spans="2:6" x14ac:dyDescent="0.35">
      <c r="B74" s="24">
        <v>2.7</v>
      </c>
      <c r="C74" s="25">
        <f t="shared" si="13"/>
        <v>0.15</v>
      </c>
      <c r="D74" s="25">
        <f t="shared" si="12"/>
        <v>0.34</v>
      </c>
      <c r="E74" s="25">
        <f t="shared" si="12"/>
        <v>0.56999999999999995</v>
      </c>
      <c r="F74" s="25">
        <f t="shared" si="12"/>
        <v>0.86</v>
      </c>
    </row>
    <row r="75" spans="2:6" x14ac:dyDescent="0.35">
      <c r="B75" s="24">
        <v>2.8</v>
      </c>
      <c r="C75" s="25">
        <f t="shared" si="13"/>
        <v>0.17</v>
      </c>
      <c r="D75" s="25">
        <f t="shared" si="12"/>
        <v>0.35</v>
      </c>
      <c r="E75" s="25">
        <f t="shared" si="12"/>
        <v>0.57999999999999996</v>
      </c>
      <c r="F75" s="25">
        <f t="shared" si="12"/>
        <v>0.86</v>
      </c>
    </row>
    <row r="76" spans="2:6" x14ac:dyDescent="0.35">
      <c r="B76" s="24">
        <v>2.9</v>
      </c>
      <c r="C76" s="25">
        <f t="shared" si="13"/>
        <v>0.19</v>
      </c>
      <c r="D76" s="25">
        <f t="shared" si="12"/>
        <v>0.37</v>
      </c>
      <c r="E76" s="25">
        <f t="shared" si="12"/>
        <v>0.59</v>
      </c>
      <c r="F76" s="25">
        <f t="shared" si="12"/>
        <v>0.87</v>
      </c>
    </row>
    <row r="77" spans="2:6" x14ac:dyDescent="0.35">
      <c r="B77" s="27">
        <f>J49</f>
        <v>3</v>
      </c>
      <c r="C77" s="1">
        <f t="shared" ref="C77:F77" si="14">K49</f>
        <v>0.21</v>
      </c>
      <c r="D77" s="1">
        <f t="shared" si="14"/>
        <v>0.38</v>
      </c>
      <c r="E77" s="1">
        <f t="shared" si="14"/>
        <v>0.6</v>
      </c>
      <c r="F77" s="1">
        <f t="shared" si="14"/>
        <v>0.87</v>
      </c>
    </row>
    <row r="78" spans="2:6" x14ac:dyDescent="0.35">
      <c r="B78" s="24">
        <v>3.1</v>
      </c>
      <c r="C78" s="25">
        <f>ROUND(TREND(K$49:K$50,$J$49:$J$50,$B78,TRUE),2)</f>
        <v>0.22</v>
      </c>
      <c r="D78" s="25">
        <f t="shared" ref="D78:F86" si="15">ROUND(TREND(L$49:L$50,$J$49:$J$50,$B78,TRUE),2)</f>
        <v>0.39</v>
      </c>
      <c r="E78" s="25">
        <f t="shared" si="15"/>
        <v>0.61</v>
      </c>
      <c r="F78" s="25">
        <f t="shared" si="15"/>
        <v>0.87</v>
      </c>
    </row>
    <row r="79" spans="2:6" x14ac:dyDescent="0.35">
      <c r="B79" s="24">
        <v>3.2</v>
      </c>
      <c r="C79" s="25">
        <f t="shared" ref="C79:C86" si="16">ROUND(TREND(K$49:K$50,$J$49:$J$50,$B79,TRUE),2)</f>
        <v>0.23</v>
      </c>
      <c r="D79" s="25">
        <f t="shared" si="15"/>
        <v>0.4</v>
      </c>
      <c r="E79" s="25">
        <f t="shared" si="15"/>
        <v>0.61</v>
      </c>
      <c r="F79" s="25">
        <f t="shared" si="15"/>
        <v>0.88</v>
      </c>
    </row>
    <row r="80" spans="2:6" x14ac:dyDescent="0.35">
      <c r="B80" s="24">
        <v>3.3</v>
      </c>
      <c r="C80" s="25">
        <f t="shared" si="16"/>
        <v>0.24</v>
      </c>
      <c r="D80" s="25">
        <f t="shared" si="15"/>
        <v>0.41</v>
      </c>
      <c r="E80" s="25">
        <f t="shared" si="15"/>
        <v>0.62</v>
      </c>
      <c r="F80" s="25">
        <f t="shared" si="15"/>
        <v>0.88</v>
      </c>
    </row>
    <row r="81" spans="2:6" x14ac:dyDescent="0.35">
      <c r="B81" s="24">
        <v>3.4</v>
      </c>
      <c r="C81" s="25">
        <f t="shared" si="16"/>
        <v>0.25</v>
      </c>
      <c r="D81" s="25">
        <f t="shared" si="15"/>
        <v>0.42</v>
      </c>
      <c r="E81" s="25">
        <f t="shared" si="15"/>
        <v>0.63</v>
      </c>
      <c r="F81" s="25">
        <f t="shared" si="15"/>
        <v>0.88</v>
      </c>
    </row>
    <row r="82" spans="2:6" x14ac:dyDescent="0.35">
      <c r="B82" s="24">
        <v>3.5</v>
      </c>
      <c r="C82" s="25">
        <f t="shared" si="16"/>
        <v>0.27</v>
      </c>
      <c r="D82" s="25">
        <f t="shared" si="15"/>
        <v>0.43</v>
      </c>
      <c r="E82" s="25">
        <f t="shared" si="15"/>
        <v>0.64</v>
      </c>
      <c r="F82" s="25">
        <f t="shared" si="15"/>
        <v>0.89</v>
      </c>
    </row>
    <row r="83" spans="2:6" x14ac:dyDescent="0.35">
      <c r="B83" s="24">
        <v>3.6</v>
      </c>
      <c r="C83" s="25">
        <f t="shared" si="16"/>
        <v>0.28000000000000003</v>
      </c>
      <c r="D83" s="25">
        <f t="shared" si="15"/>
        <v>0.44</v>
      </c>
      <c r="E83" s="25">
        <f t="shared" si="15"/>
        <v>0.64</v>
      </c>
      <c r="F83" s="25">
        <f t="shared" si="15"/>
        <v>0.89</v>
      </c>
    </row>
    <row r="84" spans="2:6" x14ac:dyDescent="0.35">
      <c r="B84" s="24">
        <v>3.7</v>
      </c>
      <c r="C84" s="25">
        <f t="shared" si="16"/>
        <v>0.28999999999999998</v>
      </c>
      <c r="D84" s="25">
        <f t="shared" si="15"/>
        <v>0.45</v>
      </c>
      <c r="E84" s="25">
        <f t="shared" si="15"/>
        <v>0.65</v>
      </c>
      <c r="F84" s="25">
        <f t="shared" si="15"/>
        <v>0.89</v>
      </c>
    </row>
    <row r="85" spans="2:6" x14ac:dyDescent="0.35">
      <c r="B85" s="24">
        <v>3.8</v>
      </c>
      <c r="C85" s="25">
        <f t="shared" si="16"/>
        <v>0.3</v>
      </c>
      <c r="D85" s="25">
        <f t="shared" si="15"/>
        <v>0.46</v>
      </c>
      <c r="E85" s="25">
        <f t="shared" si="15"/>
        <v>0.66</v>
      </c>
      <c r="F85" s="25">
        <f t="shared" si="15"/>
        <v>0.89</v>
      </c>
    </row>
    <row r="86" spans="2:6" x14ac:dyDescent="0.35">
      <c r="B86" s="24">
        <v>3.9</v>
      </c>
      <c r="C86" s="25">
        <f t="shared" si="16"/>
        <v>0.31</v>
      </c>
      <c r="D86" s="25">
        <f t="shared" si="15"/>
        <v>0.47</v>
      </c>
      <c r="E86" s="25">
        <f t="shared" si="15"/>
        <v>0.66</v>
      </c>
      <c r="F86" s="25">
        <f t="shared" si="15"/>
        <v>0.9</v>
      </c>
    </row>
    <row r="87" spans="2:6" x14ac:dyDescent="0.35">
      <c r="B87" s="27">
        <f>J50</f>
        <v>4</v>
      </c>
      <c r="C87" s="1">
        <f t="shared" ref="C87:F87" si="17">K50</f>
        <v>0.32</v>
      </c>
      <c r="D87" s="1">
        <f t="shared" si="17"/>
        <v>0.48</v>
      </c>
      <c r="E87" s="1">
        <f t="shared" si="17"/>
        <v>0.67</v>
      </c>
      <c r="F87" s="1">
        <f t="shared" si="17"/>
        <v>0.9</v>
      </c>
    </row>
  </sheetData>
  <sheetProtection algorithmName="SHA-512" hashValue="rvzw121V6/GYge5mZDrgZ7sattC1W95F0XDH2ULLyNIwfleG9ZP6yBzhGyvu4lj2LIbKBy48ghwrHZY4C0EV1w==" saltValue="khOqvpaB7CeUJwgKyV0AKQ==" spinCount="100000" sheet="1" objects="1" scenarios="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E5F0-6447-46D0-841F-53D059FEAC07}">
  <sheetPr>
    <tabColor theme="9" tint="0.59999389629810485"/>
  </sheetPr>
  <dimension ref="A1:O27"/>
  <sheetViews>
    <sheetView zoomScale="60" zoomScaleNormal="60" workbookViewId="0">
      <selection activeCell="D26" sqref="D26"/>
    </sheetView>
  </sheetViews>
  <sheetFormatPr defaultColWidth="9.1796875" defaultRowHeight="14.5" x14ac:dyDescent="0.35"/>
  <cols>
    <col min="1" max="1" width="15.81640625" style="81" customWidth="1"/>
    <col min="2" max="2" width="32.7265625" style="81" customWidth="1"/>
    <col min="3" max="3" width="8.26953125" style="81" customWidth="1"/>
    <col min="4" max="4" width="48.453125" style="81" customWidth="1"/>
    <col min="5" max="5" width="24.453125" style="81" customWidth="1"/>
    <col min="6" max="6" width="16" style="81" customWidth="1"/>
    <col min="7" max="7" width="19.453125" style="81" customWidth="1"/>
    <col min="8" max="8" width="18.1796875" style="81" customWidth="1"/>
    <col min="9" max="16384" width="9.1796875" style="81"/>
  </cols>
  <sheetData>
    <row r="1" spans="1:15" ht="15" thickBot="1" x14ac:dyDescent="0.4">
      <c r="C1" s="228" t="s">
        <v>100</v>
      </c>
      <c r="D1" s="229"/>
      <c r="E1" s="229"/>
      <c r="F1" s="229"/>
      <c r="G1" s="229"/>
      <c r="H1" s="230"/>
    </row>
    <row r="2" spans="1:15" ht="45" customHeight="1" x14ac:dyDescent="0.35">
      <c r="B2" s="124" t="s">
        <v>119</v>
      </c>
      <c r="C2" s="117" t="s">
        <v>233</v>
      </c>
      <c r="D2" s="95" t="s">
        <v>102</v>
      </c>
      <c r="E2" s="95" t="s">
        <v>101</v>
      </c>
      <c r="F2" s="95" t="s">
        <v>103</v>
      </c>
      <c r="G2" s="95" t="s">
        <v>104</v>
      </c>
      <c r="H2" s="118" t="s">
        <v>105</v>
      </c>
      <c r="I2" s="130"/>
      <c r="J2" s="131"/>
      <c r="K2" s="225" t="s">
        <v>113</v>
      </c>
      <c r="L2" s="225"/>
      <c r="M2" s="225"/>
      <c r="N2" s="225"/>
      <c r="O2" s="132"/>
    </row>
    <row r="3" spans="1:15" x14ac:dyDescent="0.35">
      <c r="B3" s="125" t="s">
        <v>6</v>
      </c>
      <c r="C3" s="119">
        <v>1</v>
      </c>
      <c r="D3" s="89" t="s">
        <v>258</v>
      </c>
      <c r="E3" s="90" t="s">
        <v>214</v>
      </c>
      <c r="F3" s="21">
        <v>30</v>
      </c>
      <c r="G3" s="21">
        <v>10</v>
      </c>
      <c r="H3" s="120">
        <v>40</v>
      </c>
      <c r="I3" s="133"/>
      <c r="J3" s="94"/>
      <c r="K3" s="96" t="s">
        <v>89</v>
      </c>
      <c r="L3" s="96" t="s">
        <v>90</v>
      </c>
      <c r="M3" s="96" t="s">
        <v>91</v>
      </c>
      <c r="N3" s="96" t="s">
        <v>87</v>
      </c>
      <c r="O3" s="134"/>
    </row>
    <row r="4" spans="1:15" ht="15" thickBot="1" x14ac:dyDescent="0.4">
      <c r="B4" s="126" t="s">
        <v>17</v>
      </c>
      <c r="C4" s="150" t="s">
        <v>257</v>
      </c>
      <c r="D4" s="151" t="s">
        <v>259</v>
      </c>
      <c r="E4" s="152" t="s">
        <v>256</v>
      </c>
      <c r="F4" s="153"/>
      <c r="G4" s="153">
        <v>10</v>
      </c>
      <c r="H4" s="154">
        <v>40</v>
      </c>
      <c r="I4" s="223" t="s">
        <v>112</v>
      </c>
      <c r="J4" s="96">
        <v>30</v>
      </c>
      <c r="K4" s="94">
        <v>1.6</v>
      </c>
      <c r="L4" s="94">
        <v>2.2000000000000002</v>
      </c>
      <c r="M4" s="94">
        <v>2.5</v>
      </c>
      <c r="N4" s="94">
        <v>2.9</v>
      </c>
      <c r="O4" s="226" t="s">
        <v>114</v>
      </c>
    </row>
    <row r="5" spans="1:15" x14ac:dyDescent="0.35">
      <c r="C5" s="119">
        <v>2</v>
      </c>
      <c r="D5" s="89" t="s">
        <v>260</v>
      </c>
      <c r="E5" s="90" t="s">
        <v>215</v>
      </c>
      <c r="F5" s="21">
        <v>25</v>
      </c>
      <c r="G5" s="21">
        <v>15</v>
      </c>
      <c r="H5" s="120">
        <v>100</v>
      </c>
      <c r="I5" s="223"/>
      <c r="J5" s="96">
        <v>36</v>
      </c>
      <c r="K5" s="94">
        <v>1.8</v>
      </c>
      <c r="L5" s="94">
        <v>2.4700000000000002</v>
      </c>
      <c r="M5" s="94">
        <v>2.83</v>
      </c>
      <c r="N5" s="94">
        <v>3.17</v>
      </c>
      <c r="O5" s="226"/>
    </row>
    <row r="6" spans="1:15" x14ac:dyDescent="0.35">
      <c r="C6" s="119">
        <v>3</v>
      </c>
      <c r="D6" s="89" t="s">
        <v>261</v>
      </c>
      <c r="E6" s="90" t="s">
        <v>216</v>
      </c>
      <c r="F6" s="21">
        <v>25</v>
      </c>
      <c r="G6" s="21">
        <v>15</v>
      </c>
      <c r="H6" s="120">
        <v>100</v>
      </c>
      <c r="I6" s="223"/>
      <c r="J6" s="96">
        <v>42</v>
      </c>
      <c r="K6" s="94">
        <v>2</v>
      </c>
      <c r="L6" s="94">
        <v>2.73</v>
      </c>
      <c r="M6" s="94">
        <v>3.17</v>
      </c>
      <c r="N6" s="94">
        <v>3.43</v>
      </c>
      <c r="O6" s="226"/>
    </row>
    <row r="7" spans="1:15" ht="15" thickBot="1" x14ac:dyDescent="0.4">
      <c r="C7" s="150" t="s">
        <v>257</v>
      </c>
      <c r="D7" s="151" t="s">
        <v>262</v>
      </c>
      <c r="E7" s="152" t="s">
        <v>256</v>
      </c>
      <c r="F7" s="153"/>
      <c r="G7" s="153">
        <v>15</v>
      </c>
      <c r="H7" s="154">
        <v>100</v>
      </c>
      <c r="I7" s="224"/>
      <c r="J7" s="135">
        <v>48</v>
      </c>
      <c r="K7" s="136">
        <v>2.2000000000000002</v>
      </c>
      <c r="L7" s="136">
        <v>3</v>
      </c>
      <c r="M7" s="136">
        <v>3.5</v>
      </c>
      <c r="N7" s="136">
        <v>3.7</v>
      </c>
      <c r="O7" s="227"/>
    </row>
    <row r="8" spans="1:15" ht="15" thickBot="1" x14ac:dyDescent="0.4">
      <c r="C8" s="119">
        <v>4</v>
      </c>
      <c r="D8" s="89" t="s">
        <v>263</v>
      </c>
      <c r="E8" s="90" t="s">
        <v>217</v>
      </c>
      <c r="F8" s="21">
        <v>30</v>
      </c>
      <c r="G8" s="21">
        <v>20</v>
      </c>
      <c r="H8" s="120">
        <v>180</v>
      </c>
    </row>
    <row r="9" spans="1:15" ht="29" x14ac:dyDescent="0.35">
      <c r="A9" s="127" t="s">
        <v>88</v>
      </c>
      <c r="B9" s="128" t="s">
        <v>99</v>
      </c>
      <c r="C9" s="119">
        <v>5</v>
      </c>
      <c r="D9" s="89" t="s">
        <v>264</v>
      </c>
      <c r="E9" s="90" t="s">
        <v>218</v>
      </c>
      <c r="F9" s="21">
        <v>30</v>
      </c>
      <c r="G9" s="21">
        <v>20</v>
      </c>
      <c r="H9" s="120">
        <v>180</v>
      </c>
    </row>
    <row r="10" spans="1:15" x14ac:dyDescent="0.35">
      <c r="A10" s="129" t="s">
        <v>89</v>
      </c>
      <c r="B10" s="120">
        <v>30</v>
      </c>
      <c r="C10" s="119">
        <v>6</v>
      </c>
      <c r="D10" s="89" t="s">
        <v>265</v>
      </c>
      <c r="E10" s="90" t="s">
        <v>219</v>
      </c>
      <c r="F10" s="21">
        <v>40</v>
      </c>
      <c r="G10" s="21">
        <v>20</v>
      </c>
      <c r="H10" s="120">
        <v>180</v>
      </c>
    </row>
    <row r="11" spans="1:15" x14ac:dyDescent="0.35">
      <c r="A11" s="129" t="s">
        <v>90</v>
      </c>
      <c r="B11" s="120">
        <v>36</v>
      </c>
      <c r="C11" s="150" t="s">
        <v>257</v>
      </c>
      <c r="D11" s="151" t="s">
        <v>266</v>
      </c>
      <c r="E11" s="152" t="s">
        <v>256</v>
      </c>
      <c r="F11" s="153"/>
      <c r="G11" s="153">
        <v>20</v>
      </c>
      <c r="H11" s="154">
        <v>180</v>
      </c>
    </row>
    <row r="12" spans="1:15" x14ac:dyDescent="0.35">
      <c r="A12" s="129" t="s">
        <v>91</v>
      </c>
      <c r="B12" s="120">
        <v>42</v>
      </c>
      <c r="C12" s="119">
        <v>7</v>
      </c>
      <c r="D12" s="89" t="s">
        <v>268</v>
      </c>
      <c r="E12" s="90" t="s">
        <v>220</v>
      </c>
      <c r="F12" s="21">
        <v>25</v>
      </c>
      <c r="G12" s="21">
        <v>25</v>
      </c>
      <c r="H12" s="120">
        <v>290</v>
      </c>
    </row>
    <row r="13" spans="1:15" ht="15" thickBot="1" x14ac:dyDescent="0.4">
      <c r="A13" s="121" t="s">
        <v>87</v>
      </c>
      <c r="B13" s="123">
        <v>48</v>
      </c>
      <c r="C13" s="119">
        <v>8</v>
      </c>
      <c r="D13" s="89" t="s">
        <v>269</v>
      </c>
      <c r="E13" s="90" t="s">
        <v>221</v>
      </c>
      <c r="F13" s="21">
        <v>25</v>
      </c>
      <c r="G13" s="21">
        <v>25</v>
      </c>
      <c r="H13" s="120">
        <v>290</v>
      </c>
    </row>
    <row r="14" spans="1:15" x14ac:dyDescent="0.35">
      <c r="C14" s="150" t="s">
        <v>257</v>
      </c>
      <c r="D14" s="151" t="s">
        <v>270</v>
      </c>
      <c r="E14" s="152" t="s">
        <v>256</v>
      </c>
      <c r="F14" s="153"/>
      <c r="G14" s="153">
        <v>25</v>
      </c>
      <c r="H14" s="154">
        <v>290</v>
      </c>
    </row>
    <row r="15" spans="1:15" x14ac:dyDescent="0.35">
      <c r="C15" s="119">
        <v>9</v>
      </c>
      <c r="D15" s="89" t="s">
        <v>271</v>
      </c>
      <c r="E15" s="90" t="s">
        <v>222</v>
      </c>
      <c r="F15" s="21">
        <v>75</v>
      </c>
      <c r="G15" s="21">
        <v>30</v>
      </c>
      <c r="H15" s="120">
        <v>420</v>
      </c>
    </row>
    <row r="16" spans="1:15" x14ac:dyDescent="0.35">
      <c r="C16" s="119">
        <v>10</v>
      </c>
      <c r="D16" s="89" t="s">
        <v>272</v>
      </c>
      <c r="E16" s="90" t="s">
        <v>223</v>
      </c>
      <c r="F16" s="21">
        <v>35</v>
      </c>
      <c r="G16" s="21">
        <v>30</v>
      </c>
      <c r="H16" s="120">
        <v>420</v>
      </c>
    </row>
    <row r="17" spans="3:8" x14ac:dyDescent="0.35">
      <c r="C17" s="119">
        <v>11</v>
      </c>
      <c r="D17" s="89" t="s">
        <v>273</v>
      </c>
      <c r="E17" s="90" t="s">
        <v>224</v>
      </c>
      <c r="F17" s="21">
        <v>30</v>
      </c>
      <c r="G17" s="21">
        <v>30</v>
      </c>
      <c r="H17" s="120">
        <v>420</v>
      </c>
    </row>
    <row r="18" spans="3:8" x14ac:dyDescent="0.35">
      <c r="C18" s="119">
        <v>12</v>
      </c>
      <c r="D18" s="89" t="s">
        <v>274</v>
      </c>
      <c r="E18" s="90" t="s">
        <v>225</v>
      </c>
      <c r="F18" s="21">
        <v>50</v>
      </c>
      <c r="G18" s="21">
        <v>30</v>
      </c>
      <c r="H18" s="120">
        <v>420</v>
      </c>
    </row>
    <row r="19" spans="3:8" x14ac:dyDescent="0.35">
      <c r="C19" s="119">
        <v>13</v>
      </c>
      <c r="D19" s="89" t="s">
        <v>275</v>
      </c>
      <c r="E19" s="90" t="s">
        <v>226</v>
      </c>
      <c r="F19" s="21">
        <v>40</v>
      </c>
      <c r="G19" s="21">
        <v>30</v>
      </c>
      <c r="H19" s="120">
        <v>420</v>
      </c>
    </row>
    <row r="20" spans="3:8" x14ac:dyDescent="0.35">
      <c r="C20" s="119">
        <v>14</v>
      </c>
      <c r="D20" s="89" t="s">
        <v>276</v>
      </c>
      <c r="E20" s="90" t="s">
        <v>227</v>
      </c>
      <c r="F20" s="21">
        <v>80</v>
      </c>
      <c r="G20" s="21">
        <v>30</v>
      </c>
      <c r="H20" s="120">
        <v>420</v>
      </c>
    </row>
    <row r="21" spans="3:8" x14ac:dyDescent="0.35">
      <c r="C21" s="119">
        <v>15</v>
      </c>
      <c r="D21" s="89" t="s">
        <v>277</v>
      </c>
      <c r="E21" s="90" t="s">
        <v>228</v>
      </c>
      <c r="F21" s="21">
        <v>60</v>
      </c>
      <c r="G21" s="21">
        <v>30</v>
      </c>
      <c r="H21" s="120">
        <v>420</v>
      </c>
    </row>
    <row r="22" spans="3:8" x14ac:dyDescent="0.35">
      <c r="C22" s="119">
        <v>16</v>
      </c>
      <c r="D22" s="89" t="s">
        <v>278</v>
      </c>
      <c r="E22" s="90" t="s">
        <v>229</v>
      </c>
      <c r="F22" s="21">
        <v>70</v>
      </c>
      <c r="G22" s="21">
        <v>30</v>
      </c>
      <c r="H22" s="120">
        <v>420</v>
      </c>
    </row>
    <row r="23" spans="3:8" x14ac:dyDescent="0.35">
      <c r="C23" s="119">
        <v>17</v>
      </c>
      <c r="D23" s="89" t="s">
        <v>279</v>
      </c>
      <c r="E23" s="90" t="s">
        <v>230</v>
      </c>
      <c r="F23" s="21">
        <v>50</v>
      </c>
      <c r="G23" s="21">
        <v>30</v>
      </c>
      <c r="H23" s="120">
        <v>420</v>
      </c>
    </row>
    <row r="24" spans="3:8" x14ac:dyDescent="0.35">
      <c r="C24" s="119">
        <v>18</v>
      </c>
      <c r="D24" s="89" t="s">
        <v>280</v>
      </c>
      <c r="E24" s="90" t="s">
        <v>231</v>
      </c>
      <c r="F24" s="21">
        <v>40</v>
      </c>
      <c r="G24" s="21">
        <v>30</v>
      </c>
      <c r="H24" s="120">
        <v>420</v>
      </c>
    </row>
    <row r="25" spans="3:8" x14ac:dyDescent="0.35">
      <c r="C25" s="119">
        <v>19</v>
      </c>
      <c r="D25" s="89" t="s">
        <v>281</v>
      </c>
      <c r="E25" s="90" t="s">
        <v>232</v>
      </c>
      <c r="F25" s="21">
        <v>30</v>
      </c>
      <c r="G25" s="21">
        <v>30</v>
      </c>
      <c r="H25" s="120">
        <v>420</v>
      </c>
    </row>
    <row r="26" spans="3:8" x14ac:dyDescent="0.35">
      <c r="C26" s="150" t="s">
        <v>257</v>
      </c>
      <c r="D26" s="151" t="s">
        <v>282</v>
      </c>
      <c r="E26" s="152" t="s">
        <v>256</v>
      </c>
      <c r="F26" s="153"/>
      <c r="G26" s="153">
        <v>30</v>
      </c>
      <c r="H26" s="154">
        <v>420</v>
      </c>
    </row>
    <row r="27" spans="3:8" ht="15" thickBot="1" x14ac:dyDescent="0.4">
      <c r="C27" s="121"/>
      <c r="D27" s="122"/>
      <c r="E27" s="122"/>
      <c r="F27" s="122" t="s">
        <v>106</v>
      </c>
      <c r="G27" s="122" t="s">
        <v>106</v>
      </c>
      <c r="H27" s="123" t="s">
        <v>107</v>
      </c>
    </row>
  </sheetData>
  <mergeCells count="4">
    <mergeCell ref="I4:I7"/>
    <mergeCell ref="K2:N2"/>
    <mergeCell ref="O4:O7"/>
    <mergeCell ref="C1:H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BFB33-5688-49BA-B8C9-03FE24BEF378}">
  <sheetPr>
    <tabColor theme="9" tint="0.59999389629810485"/>
  </sheetPr>
  <dimension ref="B2:C11"/>
  <sheetViews>
    <sheetView workbookViewId="0"/>
  </sheetViews>
  <sheetFormatPr defaultColWidth="9.1796875" defaultRowHeight="14.5" x14ac:dyDescent="0.35"/>
  <cols>
    <col min="1" max="1" width="9.1796875" style="81"/>
    <col min="2" max="2" width="32.7265625" style="81" customWidth="1"/>
    <col min="3" max="16384" width="9.1796875" style="81"/>
  </cols>
  <sheetData>
    <row r="2" spans="2:3" ht="29" x14ac:dyDescent="0.35">
      <c r="B2" s="95" t="s">
        <v>119</v>
      </c>
    </row>
    <row r="3" spans="2:3" x14ac:dyDescent="0.35">
      <c r="B3" s="21" t="s">
        <v>6</v>
      </c>
    </row>
    <row r="4" spans="2:3" x14ac:dyDescent="0.35">
      <c r="B4" s="21" t="s">
        <v>17</v>
      </c>
    </row>
    <row r="6" spans="2:3" ht="29" x14ac:dyDescent="0.35">
      <c r="B6" s="95" t="s">
        <v>130</v>
      </c>
    </row>
    <row r="7" spans="2:3" x14ac:dyDescent="0.35">
      <c r="B7" s="93" t="s">
        <v>147</v>
      </c>
      <c r="C7" s="81" t="s">
        <v>131</v>
      </c>
    </row>
    <row r="8" spans="2:3" x14ac:dyDescent="0.35">
      <c r="B8" s="93" t="s">
        <v>148</v>
      </c>
      <c r="C8" s="81" t="s">
        <v>132</v>
      </c>
    </row>
    <row r="9" spans="2:3" x14ac:dyDescent="0.35">
      <c r="B9" s="93" t="s">
        <v>149</v>
      </c>
      <c r="C9" s="81" t="s">
        <v>127</v>
      </c>
    </row>
    <row r="10" spans="2:3" x14ac:dyDescent="0.35">
      <c r="B10" s="93" t="s">
        <v>150</v>
      </c>
      <c r="C10" s="81" t="s">
        <v>128</v>
      </c>
    </row>
    <row r="11" spans="2:3" x14ac:dyDescent="0.35">
      <c r="B11" s="93" t="s">
        <v>57</v>
      </c>
      <c r="C11" s="81" t="s">
        <v>129</v>
      </c>
    </row>
  </sheetData>
  <sheetProtection algorithmName="SHA-512" hashValue="hPwHyPtxSt3Uh1kunx2IX97YXQPACB/MF2U6O9SDAn3AsyYU1AdTH1lHFuADWi+lrkCPQmtslN/Y07rKbM54Cw==" saltValue="oNF8lPCiCcPVfJfC86WQO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304DE07E971E4191C1F70D69C2A402" ma:contentTypeVersion="0" ma:contentTypeDescription="Create a new document." ma:contentTypeScope="" ma:versionID="e9a67b0483af0dabadc5d10ba53ebbb9">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849206-B996-48A3-B370-97C5ADF05A0F}">
  <ds:schemaRefs>
    <ds:schemaRef ds:uri="http://schemas.microsoft.com/sharepoint/v3/contenttype/forms"/>
  </ds:schemaRefs>
</ds:datastoreItem>
</file>

<file path=customXml/itemProps2.xml><?xml version="1.0" encoding="utf-8"?>
<ds:datastoreItem xmlns:ds="http://schemas.openxmlformats.org/officeDocument/2006/customXml" ds:itemID="{2FD78FC1-E396-4FB1-9489-FE1ED7CB6373}">
  <ds:schemaRefs>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D368CE8-D3A2-43D5-859F-E062E8F20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Introduction</vt:lpstr>
      <vt:lpstr>Step 1. DCV</vt:lpstr>
      <vt:lpstr>Step 2. Dispersion Areas</vt:lpstr>
      <vt:lpstr>Step 3. Tree Wells</vt:lpstr>
      <vt:lpstr>Ref_DCV</vt:lpstr>
      <vt:lpstr>Ref_Tree_Wells</vt:lpstr>
      <vt:lpstr>Ref_Dispersion</vt:lpstr>
      <vt:lpstr>Introduction!Print_Area</vt:lpstr>
      <vt:lpstr>'Step 1. DCV'!Print_Area</vt:lpstr>
      <vt:lpstr>'Step 2. Dispersion Areas'!Print_Area</vt:lpstr>
      <vt:lpstr>'Step 3. Tree Wells'!Print_Area</vt:lpstr>
    </vt:vector>
  </TitlesOfParts>
  <Company>The 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CMohrlock</dc:creator>
  <cp:lastModifiedBy>Kyrenne Chua</cp:lastModifiedBy>
  <cp:lastPrinted>2020-06-25T22:15:11Z</cp:lastPrinted>
  <dcterms:created xsi:type="dcterms:W3CDTF">2014-12-29T19:28:27Z</dcterms:created>
  <dcterms:modified xsi:type="dcterms:W3CDTF">2020-10-28T21:20:29Z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0x01010090304DE07E971E4191C1F70D69C2A402</vt:lpwstr>
  </property>
</Properties>
</file>